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55"/>
  </bookViews>
  <sheets>
    <sheet name="Aviation Occurrences" sheetId="1" r:id="rId1"/>
  </sheets>
  <definedNames>
    <definedName name="FirstDataRow">'Aviation Occurrences'!$B$10:$P$10</definedName>
    <definedName name="HeaderFormatCell">'Aviation Occurrences'!$B$8:$B$8</definedName>
    <definedName name="SearchCriteria">'Aviation Occurrences'!$J$2:$P$6</definedName>
  </definedNames>
  <calcPr calcId="152511"/>
  <fileRecoveryPr autoRecover="0"/>
</workbook>
</file>

<file path=xl/calcChain.xml><?xml version="1.0" encoding="utf-8"?>
<calcChain xmlns="http://schemas.openxmlformats.org/spreadsheetml/2006/main">
  <c r="H450" i="1" l="1"/>
  <c r="G450" i="1"/>
  <c r="H449" i="1"/>
  <c r="G449" i="1"/>
  <c r="H448" i="1"/>
  <c r="G448" i="1"/>
  <c r="H447" i="1"/>
  <c r="G447" i="1"/>
  <c r="H446" i="1"/>
  <c r="G446" i="1"/>
  <c r="H445" i="1"/>
  <c r="G445" i="1"/>
  <c r="H444" i="1"/>
  <c r="G444" i="1"/>
  <c r="E444" i="1"/>
  <c r="H443" i="1"/>
  <c r="G443" i="1"/>
  <c r="H442" i="1"/>
  <c r="G442" i="1"/>
  <c r="H441" i="1"/>
  <c r="G441" i="1"/>
  <c r="H440" i="1"/>
  <c r="G440" i="1"/>
  <c r="H439" i="1"/>
  <c r="G439" i="1"/>
  <c r="H438" i="1"/>
  <c r="G438" i="1"/>
  <c r="H437" i="1"/>
  <c r="G437" i="1"/>
  <c r="H436" i="1"/>
  <c r="G436" i="1"/>
  <c r="H435" i="1"/>
  <c r="G435" i="1"/>
  <c r="H434" i="1"/>
  <c r="G434" i="1"/>
  <c r="H433" i="1"/>
  <c r="G433" i="1"/>
  <c r="H432" i="1"/>
  <c r="G432" i="1"/>
  <c r="H431" i="1"/>
  <c r="G431" i="1"/>
  <c r="H430" i="1"/>
  <c r="G430" i="1"/>
  <c r="H429" i="1"/>
  <c r="G429" i="1"/>
  <c r="H428" i="1"/>
  <c r="G428" i="1"/>
  <c r="H427" i="1"/>
  <c r="G427" i="1"/>
  <c r="H426" i="1"/>
  <c r="G426" i="1"/>
  <c r="H425" i="1"/>
  <c r="G425" i="1"/>
  <c r="H424" i="1"/>
  <c r="G424" i="1"/>
  <c r="H423" i="1"/>
  <c r="G423" i="1"/>
  <c r="H422" i="1"/>
  <c r="G422" i="1"/>
  <c r="H421" i="1"/>
  <c r="G421" i="1"/>
  <c r="H420" i="1"/>
  <c r="G420" i="1"/>
  <c r="E420" i="1"/>
  <c r="H419" i="1"/>
  <c r="G419" i="1"/>
  <c r="H418" i="1"/>
  <c r="G418" i="1"/>
  <c r="H417" i="1"/>
  <c r="G417" i="1"/>
  <c r="H416" i="1"/>
  <c r="G416" i="1"/>
  <c r="H415" i="1"/>
  <c r="G415" i="1"/>
  <c r="H414" i="1"/>
  <c r="G414" i="1"/>
  <c r="H413" i="1"/>
  <c r="G413" i="1"/>
  <c r="H412" i="1"/>
  <c r="G412" i="1"/>
  <c r="E412" i="1"/>
  <c r="H411" i="1"/>
  <c r="G411" i="1"/>
  <c r="H410" i="1"/>
  <c r="G410" i="1"/>
  <c r="H409" i="1"/>
  <c r="G409" i="1"/>
  <c r="H408" i="1"/>
  <c r="G408" i="1"/>
  <c r="H407" i="1"/>
  <c r="G407" i="1"/>
  <c r="H406" i="1"/>
  <c r="G406" i="1"/>
  <c r="H405" i="1"/>
  <c r="G405" i="1"/>
  <c r="H404" i="1"/>
  <c r="G404" i="1"/>
  <c r="H403" i="1"/>
  <c r="G403" i="1"/>
  <c r="H402" i="1"/>
  <c r="G402" i="1"/>
  <c r="H401" i="1"/>
  <c r="G401" i="1"/>
  <c r="H400" i="1"/>
  <c r="G400" i="1"/>
  <c r="H399" i="1"/>
  <c r="G399" i="1"/>
  <c r="H398" i="1"/>
  <c r="G398" i="1"/>
  <c r="H397" i="1"/>
  <c r="G397" i="1"/>
  <c r="H396" i="1"/>
  <c r="G396" i="1"/>
  <c r="H395" i="1"/>
  <c r="G395" i="1"/>
  <c r="H394" i="1"/>
  <c r="G394" i="1"/>
  <c r="H393" i="1"/>
  <c r="G393" i="1"/>
  <c r="H392" i="1"/>
  <c r="G392" i="1"/>
  <c r="H391" i="1"/>
  <c r="G391" i="1"/>
  <c r="H390" i="1"/>
  <c r="G390" i="1"/>
  <c r="H389" i="1"/>
  <c r="G389" i="1"/>
  <c r="H388" i="1"/>
  <c r="G388" i="1"/>
  <c r="H387" i="1"/>
  <c r="G387" i="1"/>
  <c r="H386" i="1"/>
  <c r="G386" i="1"/>
  <c r="H385" i="1"/>
  <c r="G385" i="1"/>
  <c r="H384" i="1"/>
  <c r="G384" i="1"/>
  <c r="H383" i="1"/>
  <c r="G383" i="1"/>
  <c r="H382" i="1"/>
  <c r="G382" i="1"/>
  <c r="H381" i="1"/>
  <c r="G381" i="1"/>
  <c r="H380" i="1"/>
  <c r="G380" i="1"/>
  <c r="H379" i="1"/>
  <c r="G379" i="1"/>
  <c r="H378" i="1"/>
  <c r="G378" i="1"/>
  <c r="H377" i="1"/>
  <c r="G377" i="1"/>
  <c r="H376" i="1"/>
  <c r="G376" i="1"/>
  <c r="H375" i="1"/>
  <c r="G375" i="1"/>
  <c r="H374" i="1"/>
  <c r="G374" i="1"/>
  <c r="H373" i="1"/>
  <c r="G373" i="1"/>
  <c r="H372" i="1"/>
  <c r="G372" i="1"/>
  <c r="H371" i="1"/>
  <c r="G371" i="1"/>
  <c r="H370" i="1"/>
  <c r="G370" i="1"/>
  <c r="E370" i="1"/>
  <c r="H369" i="1"/>
  <c r="G369" i="1"/>
  <c r="E369" i="1"/>
  <c r="H368" i="1"/>
  <c r="G368" i="1"/>
  <c r="H367" i="1"/>
  <c r="G367" i="1"/>
  <c r="H366" i="1"/>
  <c r="G366" i="1"/>
  <c r="E366" i="1"/>
  <c r="H365" i="1"/>
  <c r="G365" i="1"/>
  <c r="H364" i="1"/>
  <c r="G364" i="1"/>
  <c r="H363" i="1"/>
  <c r="G363" i="1"/>
  <c r="H362" i="1"/>
  <c r="G362" i="1"/>
  <c r="H361" i="1"/>
  <c r="G361" i="1"/>
  <c r="H360" i="1"/>
  <c r="G360" i="1"/>
  <c r="H359" i="1"/>
  <c r="G359" i="1"/>
  <c r="H358" i="1"/>
  <c r="G358" i="1"/>
  <c r="E358" i="1"/>
  <c r="H357" i="1"/>
  <c r="G357" i="1"/>
  <c r="H356" i="1"/>
  <c r="G356" i="1"/>
  <c r="H355" i="1"/>
  <c r="G355" i="1"/>
  <c r="H354" i="1"/>
  <c r="G354" i="1"/>
  <c r="H353" i="1"/>
  <c r="G353" i="1"/>
  <c r="H352" i="1"/>
  <c r="G352" i="1"/>
  <c r="H351" i="1"/>
  <c r="G351" i="1"/>
  <c r="H350" i="1"/>
  <c r="G350" i="1"/>
  <c r="H349" i="1"/>
  <c r="G349" i="1"/>
  <c r="H348" i="1"/>
  <c r="G348" i="1"/>
  <c r="H347" i="1"/>
  <c r="G347" i="1"/>
  <c r="H346" i="1"/>
  <c r="G346" i="1"/>
  <c r="H345" i="1"/>
  <c r="G345" i="1"/>
  <c r="H344" i="1"/>
  <c r="G344" i="1"/>
  <c r="H343" i="1"/>
  <c r="G343" i="1"/>
  <c r="H342" i="1"/>
  <c r="G342" i="1"/>
  <c r="H341" i="1"/>
  <c r="G341" i="1"/>
  <c r="H340" i="1"/>
  <c r="G340" i="1"/>
  <c r="H339" i="1"/>
  <c r="G339" i="1"/>
  <c r="H338" i="1"/>
  <c r="G338" i="1"/>
  <c r="H337" i="1"/>
  <c r="G337" i="1"/>
  <c r="H336" i="1"/>
  <c r="G336" i="1"/>
  <c r="H335" i="1"/>
  <c r="G335" i="1"/>
  <c r="H334" i="1"/>
  <c r="G334" i="1"/>
  <c r="H333" i="1"/>
  <c r="G333" i="1"/>
  <c r="H332" i="1"/>
  <c r="G332" i="1"/>
  <c r="H331" i="1"/>
  <c r="G331" i="1"/>
  <c r="H330" i="1"/>
  <c r="G330" i="1"/>
  <c r="H329" i="1"/>
  <c r="G329" i="1"/>
  <c r="H328" i="1"/>
  <c r="G328" i="1"/>
  <c r="H327" i="1"/>
  <c r="G327" i="1"/>
  <c r="H326" i="1"/>
  <c r="G326" i="1"/>
  <c r="H325" i="1"/>
  <c r="G325" i="1"/>
  <c r="H324" i="1"/>
  <c r="G324" i="1"/>
  <c r="H323" i="1"/>
  <c r="G323" i="1"/>
  <c r="H322" i="1"/>
  <c r="G322" i="1"/>
  <c r="H321" i="1"/>
  <c r="G321" i="1"/>
  <c r="H320" i="1"/>
  <c r="G320" i="1"/>
  <c r="H319" i="1"/>
  <c r="G319" i="1"/>
  <c r="H318" i="1"/>
  <c r="G318" i="1"/>
  <c r="H317" i="1"/>
  <c r="G317" i="1"/>
  <c r="H316" i="1"/>
  <c r="G316" i="1"/>
  <c r="H315" i="1"/>
  <c r="G315" i="1"/>
  <c r="H314" i="1"/>
  <c r="G314" i="1"/>
  <c r="H313" i="1"/>
  <c r="G313" i="1"/>
  <c r="H312" i="1"/>
  <c r="G312" i="1"/>
  <c r="H311" i="1"/>
  <c r="G311" i="1"/>
  <c r="H310" i="1"/>
  <c r="G310" i="1"/>
  <c r="H309" i="1"/>
  <c r="G309" i="1"/>
  <c r="H308" i="1"/>
  <c r="G308" i="1"/>
  <c r="H307" i="1"/>
  <c r="G307" i="1"/>
  <c r="H306" i="1"/>
  <c r="G306" i="1"/>
  <c r="H305" i="1"/>
  <c r="G305" i="1"/>
  <c r="H304" i="1"/>
  <c r="G304" i="1"/>
  <c r="H303" i="1"/>
  <c r="G303" i="1"/>
  <c r="H302" i="1"/>
  <c r="G302" i="1"/>
  <c r="H301" i="1"/>
  <c r="G301" i="1"/>
  <c r="H300" i="1"/>
  <c r="G300" i="1"/>
  <c r="H299" i="1"/>
  <c r="G299" i="1"/>
  <c r="H298" i="1"/>
  <c r="G298" i="1"/>
  <c r="H297" i="1"/>
  <c r="G297" i="1"/>
  <c r="H296" i="1"/>
  <c r="G296" i="1"/>
  <c r="H295" i="1"/>
  <c r="G295" i="1"/>
  <c r="H294" i="1"/>
  <c r="G294" i="1"/>
  <c r="H293" i="1"/>
  <c r="G293" i="1"/>
  <c r="H292" i="1"/>
  <c r="G292" i="1"/>
  <c r="H291" i="1"/>
  <c r="G291" i="1"/>
  <c r="H290" i="1"/>
  <c r="G290" i="1"/>
  <c r="H289" i="1"/>
  <c r="G289" i="1"/>
  <c r="H288" i="1"/>
  <c r="G288" i="1"/>
  <c r="H287" i="1"/>
  <c r="G287" i="1"/>
  <c r="H286" i="1"/>
  <c r="G286" i="1"/>
  <c r="H285" i="1"/>
  <c r="G285" i="1"/>
  <c r="H284" i="1"/>
  <c r="G284" i="1"/>
  <c r="H283" i="1"/>
  <c r="G283" i="1"/>
  <c r="H282" i="1"/>
  <c r="G282" i="1"/>
  <c r="H281" i="1"/>
  <c r="G281" i="1"/>
  <c r="H280" i="1"/>
  <c r="G280" i="1"/>
  <c r="H279" i="1"/>
  <c r="G279" i="1"/>
  <c r="H278" i="1"/>
  <c r="G278" i="1"/>
  <c r="H277" i="1"/>
  <c r="G277" i="1"/>
  <c r="H276" i="1"/>
  <c r="G276" i="1"/>
  <c r="H275" i="1"/>
  <c r="G275" i="1"/>
  <c r="H274" i="1"/>
  <c r="G274" i="1"/>
  <c r="H273" i="1"/>
  <c r="G273" i="1"/>
  <c r="H272" i="1"/>
  <c r="G272" i="1"/>
  <c r="H271" i="1"/>
  <c r="G271" i="1"/>
  <c r="H270" i="1"/>
  <c r="G270" i="1"/>
  <c r="H269" i="1"/>
  <c r="G269" i="1"/>
  <c r="H268" i="1"/>
  <c r="G268" i="1"/>
  <c r="H267" i="1"/>
  <c r="G267" i="1"/>
  <c r="H266" i="1"/>
  <c r="G266" i="1"/>
  <c r="H265" i="1"/>
  <c r="G265" i="1"/>
  <c r="H264" i="1"/>
  <c r="G264" i="1"/>
  <c r="H263" i="1"/>
  <c r="G263" i="1"/>
  <c r="H262" i="1"/>
  <c r="G262" i="1"/>
  <c r="H261" i="1"/>
  <c r="G261" i="1"/>
  <c r="H260" i="1"/>
  <c r="G260" i="1"/>
  <c r="H259" i="1"/>
  <c r="G259" i="1"/>
  <c r="H258" i="1"/>
  <c r="G258" i="1"/>
  <c r="H257" i="1"/>
  <c r="G257" i="1"/>
  <c r="H256" i="1"/>
  <c r="G256" i="1"/>
  <c r="H255" i="1"/>
  <c r="G255" i="1"/>
  <c r="H254" i="1"/>
  <c r="G254" i="1"/>
  <c r="H253" i="1"/>
  <c r="G253" i="1"/>
  <c r="H252" i="1"/>
  <c r="G252" i="1"/>
  <c r="H251" i="1"/>
  <c r="G251" i="1"/>
  <c r="H250" i="1"/>
  <c r="G250" i="1"/>
  <c r="H249" i="1"/>
  <c r="G249" i="1"/>
  <c r="H248" i="1"/>
  <c r="G248" i="1"/>
  <c r="H247" i="1"/>
  <c r="G247" i="1"/>
  <c r="H246" i="1"/>
  <c r="G246" i="1"/>
  <c r="H245" i="1"/>
  <c r="G245" i="1"/>
  <c r="H244" i="1"/>
  <c r="G244" i="1"/>
  <c r="H243" i="1"/>
  <c r="G243" i="1"/>
  <c r="H242" i="1"/>
  <c r="G242" i="1"/>
  <c r="H241" i="1"/>
  <c r="G241" i="1"/>
  <c r="H240" i="1"/>
  <c r="G240" i="1"/>
  <c r="H239" i="1"/>
  <c r="G239" i="1"/>
  <c r="H238" i="1"/>
  <c r="G238" i="1"/>
  <c r="H237" i="1"/>
  <c r="G237" i="1"/>
  <c r="H236" i="1"/>
  <c r="G236" i="1"/>
  <c r="H235" i="1"/>
  <c r="G235" i="1"/>
  <c r="H234" i="1"/>
  <c r="G234" i="1"/>
  <c r="H233" i="1"/>
  <c r="G233" i="1"/>
  <c r="H232" i="1"/>
  <c r="G232" i="1"/>
  <c r="H231" i="1"/>
  <c r="G231" i="1"/>
  <c r="H230" i="1"/>
  <c r="G230" i="1"/>
  <c r="H229" i="1"/>
  <c r="G229" i="1"/>
  <c r="H228" i="1"/>
  <c r="G228" i="1"/>
  <c r="H227" i="1"/>
  <c r="G227" i="1"/>
  <c r="H226" i="1"/>
  <c r="G226" i="1"/>
  <c r="H225" i="1"/>
  <c r="G225" i="1"/>
  <c r="H224" i="1"/>
  <c r="G224" i="1"/>
  <c r="H223" i="1"/>
  <c r="G223" i="1"/>
  <c r="H222" i="1"/>
  <c r="G222" i="1"/>
  <c r="H221" i="1"/>
  <c r="G221" i="1"/>
  <c r="H220" i="1"/>
  <c r="G220" i="1"/>
  <c r="H219" i="1"/>
  <c r="G219" i="1"/>
  <c r="H218" i="1"/>
  <c r="G218" i="1"/>
  <c r="H217" i="1"/>
  <c r="G217" i="1"/>
  <c r="H216" i="1"/>
  <c r="G216" i="1"/>
  <c r="H215" i="1"/>
  <c r="G215" i="1"/>
  <c r="H214" i="1"/>
  <c r="G214" i="1"/>
  <c r="H213" i="1"/>
  <c r="G213" i="1"/>
  <c r="H212" i="1"/>
  <c r="G212" i="1"/>
  <c r="H211" i="1"/>
  <c r="G211" i="1"/>
  <c r="H210" i="1"/>
  <c r="G210" i="1"/>
  <c r="H209" i="1"/>
  <c r="G209" i="1"/>
  <c r="H208" i="1"/>
  <c r="G208" i="1"/>
  <c r="H207" i="1"/>
  <c r="G207" i="1"/>
  <c r="H206" i="1"/>
  <c r="G206" i="1"/>
  <c r="H205" i="1"/>
  <c r="G205" i="1"/>
  <c r="H204" i="1"/>
  <c r="G204" i="1"/>
  <c r="H203" i="1"/>
  <c r="G203" i="1"/>
  <c r="H202" i="1"/>
  <c r="G202" i="1"/>
  <c r="H201" i="1"/>
  <c r="G201" i="1"/>
  <c r="H200" i="1"/>
  <c r="G200" i="1"/>
  <c r="H199" i="1"/>
  <c r="G199" i="1"/>
  <c r="H198" i="1"/>
  <c r="G198" i="1"/>
  <c r="H197" i="1"/>
  <c r="G197" i="1"/>
  <c r="H196" i="1"/>
  <c r="G196" i="1"/>
  <c r="H195" i="1"/>
  <c r="G195" i="1"/>
  <c r="H194" i="1"/>
  <c r="G194" i="1"/>
  <c r="H193" i="1"/>
  <c r="G193" i="1"/>
  <c r="H192" i="1"/>
  <c r="G192" i="1"/>
  <c r="H191" i="1"/>
  <c r="G191" i="1"/>
  <c r="H190" i="1"/>
  <c r="G190" i="1"/>
  <c r="H189" i="1"/>
  <c r="G189" i="1"/>
  <c r="H188" i="1"/>
  <c r="G188" i="1"/>
  <c r="H187" i="1"/>
  <c r="G187" i="1"/>
  <c r="H186" i="1"/>
  <c r="G186" i="1"/>
  <c r="H185" i="1"/>
  <c r="G185" i="1"/>
  <c r="H184" i="1"/>
  <c r="G184" i="1"/>
  <c r="H183" i="1"/>
  <c r="G183" i="1"/>
  <c r="H182" i="1"/>
  <c r="G182" i="1"/>
  <c r="H181" i="1"/>
  <c r="G181" i="1"/>
  <c r="H180" i="1"/>
  <c r="G180" i="1"/>
  <c r="H179" i="1"/>
  <c r="G179" i="1"/>
  <c r="H178" i="1"/>
  <c r="G178" i="1"/>
  <c r="H177" i="1"/>
  <c r="G177" i="1"/>
  <c r="H176" i="1"/>
  <c r="G176" i="1"/>
  <c r="H175" i="1"/>
  <c r="G175" i="1"/>
  <c r="H174" i="1"/>
  <c r="G174" i="1"/>
  <c r="H173" i="1"/>
  <c r="G173" i="1"/>
  <c r="H172" i="1"/>
  <c r="G172" i="1"/>
  <c r="H171" i="1"/>
  <c r="G171" i="1"/>
  <c r="H170" i="1"/>
  <c r="G170" i="1"/>
  <c r="H169" i="1"/>
  <c r="G169" i="1"/>
  <c r="H168" i="1"/>
  <c r="G168" i="1"/>
  <c r="H167" i="1"/>
  <c r="G167" i="1"/>
  <c r="H166" i="1"/>
  <c r="G166" i="1"/>
  <c r="H165" i="1"/>
  <c r="G165" i="1"/>
  <c r="H164" i="1"/>
  <c r="G164" i="1"/>
  <c r="H163" i="1"/>
  <c r="G163" i="1"/>
  <c r="H162" i="1"/>
  <c r="G162" i="1"/>
  <c r="H161" i="1"/>
  <c r="G161" i="1"/>
  <c r="H160" i="1"/>
  <c r="G160" i="1"/>
  <c r="H159" i="1"/>
  <c r="G159" i="1"/>
  <c r="H158" i="1"/>
  <c r="G158" i="1"/>
  <c r="H157" i="1"/>
  <c r="G157" i="1"/>
  <c r="H156" i="1"/>
  <c r="G156" i="1"/>
  <c r="H155" i="1"/>
  <c r="G155" i="1"/>
  <c r="H154" i="1"/>
  <c r="G154" i="1"/>
  <c r="H153" i="1"/>
  <c r="G153" i="1"/>
  <c r="H152" i="1"/>
  <c r="G152" i="1"/>
  <c r="H151" i="1"/>
  <c r="G151" i="1"/>
  <c r="H150" i="1"/>
  <c r="G150" i="1"/>
  <c r="H149" i="1"/>
  <c r="G149" i="1"/>
  <c r="H148" i="1"/>
  <c r="G148" i="1"/>
  <c r="H147" i="1"/>
  <c r="G147" i="1"/>
  <c r="H146" i="1"/>
  <c r="G146" i="1"/>
  <c r="H145" i="1"/>
  <c r="G145" i="1"/>
  <c r="H144" i="1"/>
  <c r="G144" i="1"/>
  <c r="H143" i="1"/>
  <c r="G143" i="1"/>
  <c r="H142" i="1"/>
  <c r="G142" i="1"/>
  <c r="H141" i="1"/>
  <c r="G141" i="1"/>
  <c r="H140" i="1"/>
  <c r="G140" i="1"/>
  <c r="H139" i="1"/>
  <c r="G139" i="1"/>
  <c r="H138" i="1"/>
  <c r="G138" i="1"/>
  <c r="H137" i="1"/>
  <c r="G137" i="1"/>
  <c r="H136" i="1"/>
  <c r="G136" i="1"/>
  <c r="H135" i="1"/>
  <c r="G135" i="1"/>
  <c r="H134" i="1"/>
  <c r="G134" i="1"/>
  <c r="H133" i="1"/>
  <c r="G133" i="1"/>
  <c r="H132" i="1"/>
  <c r="G132" i="1"/>
  <c r="H131" i="1"/>
  <c r="G131" i="1"/>
  <c r="H130" i="1"/>
  <c r="G130" i="1"/>
  <c r="H129" i="1"/>
  <c r="G129" i="1"/>
  <c r="H128" i="1"/>
  <c r="G128" i="1"/>
  <c r="H127" i="1"/>
  <c r="G127" i="1"/>
  <c r="H126" i="1"/>
  <c r="G126" i="1"/>
  <c r="E126" i="1"/>
  <c r="H125" i="1"/>
  <c r="G125" i="1"/>
  <c r="H124" i="1"/>
  <c r="G124" i="1"/>
  <c r="H123" i="1"/>
  <c r="G123" i="1"/>
  <c r="H122" i="1"/>
  <c r="G122" i="1"/>
  <c r="H121" i="1"/>
  <c r="G121" i="1"/>
  <c r="H120" i="1"/>
  <c r="G120" i="1"/>
  <c r="H119" i="1"/>
  <c r="G119" i="1"/>
  <c r="H118" i="1"/>
  <c r="G118" i="1"/>
  <c r="H117" i="1"/>
  <c r="G117" i="1"/>
  <c r="H116" i="1"/>
  <c r="G116" i="1"/>
  <c r="H115" i="1"/>
  <c r="G115" i="1"/>
  <c r="E115" i="1"/>
  <c r="H114" i="1"/>
  <c r="G114" i="1"/>
  <c r="H113" i="1"/>
  <c r="G113" i="1"/>
  <c r="H112" i="1"/>
  <c r="G112" i="1"/>
  <c r="H111" i="1"/>
  <c r="G111" i="1"/>
  <c r="H110" i="1"/>
  <c r="G110" i="1"/>
  <c r="H109" i="1"/>
  <c r="G109" i="1"/>
  <c r="H108" i="1"/>
  <c r="G108" i="1"/>
  <c r="H107" i="1"/>
  <c r="G107" i="1"/>
  <c r="H106" i="1"/>
  <c r="G106" i="1"/>
  <c r="H105" i="1"/>
  <c r="G105" i="1"/>
  <c r="H104" i="1"/>
  <c r="G104" i="1"/>
  <c r="H103" i="1"/>
  <c r="G103" i="1"/>
  <c r="H102" i="1"/>
  <c r="G102" i="1"/>
  <c r="H101" i="1"/>
  <c r="G101" i="1"/>
  <c r="H100" i="1"/>
  <c r="G100" i="1"/>
  <c r="H99" i="1"/>
  <c r="G99" i="1"/>
  <c r="H98" i="1"/>
  <c r="G98" i="1"/>
  <c r="H97" i="1"/>
  <c r="G97" i="1"/>
  <c r="H96" i="1"/>
  <c r="G96" i="1"/>
  <c r="H95" i="1"/>
  <c r="G95" i="1"/>
  <c r="H94" i="1"/>
  <c r="G94" i="1"/>
  <c r="H93" i="1"/>
  <c r="G93" i="1"/>
  <c r="H92" i="1"/>
  <c r="G92" i="1"/>
  <c r="H91" i="1"/>
  <c r="G91" i="1"/>
  <c r="H90" i="1"/>
  <c r="G90" i="1"/>
  <c r="H89" i="1"/>
  <c r="G89" i="1"/>
  <c r="H88" i="1"/>
  <c r="G88" i="1"/>
  <c r="H87" i="1"/>
  <c r="G87" i="1"/>
  <c r="H86" i="1"/>
  <c r="G86" i="1"/>
  <c r="H85" i="1"/>
  <c r="G85" i="1"/>
  <c r="H84" i="1"/>
  <c r="G84" i="1"/>
  <c r="H83" i="1"/>
  <c r="G83" i="1"/>
  <c r="H82" i="1"/>
  <c r="G82" i="1"/>
  <c r="H81" i="1"/>
  <c r="G81" i="1"/>
  <c r="E81"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E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E24" i="1"/>
  <c r="H23" i="1"/>
  <c r="G23" i="1"/>
  <c r="H22" i="1"/>
  <c r="G22" i="1"/>
  <c r="H21" i="1"/>
  <c r="G21" i="1"/>
  <c r="E21" i="1"/>
  <c r="H20" i="1"/>
  <c r="G20" i="1"/>
  <c r="H19" i="1"/>
  <c r="G19" i="1"/>
  <c r="H18" i="1"/>
  <c r="G18" i="1"/>
  <c r="H17" i="1"/>
  <c r="G17" i="1"/>
  <c r="H16" i="1"/>
  <c r="G16" i="1"/>
  <c r="H15" i="1"/>
  <c r="G15" i="1"/>
  <c r="H14" i="1"/>
  <c r="G14" i="1"/>
  <c r="H13" i="1"/>
  <c r="G13" i="1"/>
  <c r="H12" i="1"/>
  <c r="G12" i="1"/>
  <c r="H11" i="1"/>
  <c r="G11" i="1"/>
  <c r="H10" i="1"/>
  <c r="G10" i="1"/>
  <c r="E10" i="1"/>
</calcChain>
</file>

<file path=xl/sharedStrings.xml><?xml version="1.0" encoding="utf-8"?>
<sst xmlns="http://schemas.openxmlformats.org/spreadsheetml/2006/main" count="6181" uniqueCount="1452">
  <si>
    <t>If you have Protected View enabled you will have to click on Enable Editing to view and click on links</t>
  </si>
  <si>
    <t>Date range: From 01 Jan 2013 to 06 Apr 2020</t>
  </si>
  <si>
    <t>Location: All</t>
  </si>
  <si>
    <t>Occurrence Category: All</t>
  </si>
  <si>
    <t>Occurrence Type: All</t>
  </si>
  <si>
    <t>Aircraft and Airspace: Aircraft Type: Aeroplane. Operator Type: Air Transport High Capacity - Passenger. Engine type: Turboprop. Number of engines: 2. Manufacturer: ATR - Gie Avions De Transport Regional - All</t>
  </si>
  <si>
    <t>Date</t>
  </si>
  <si>
    <t>ATSB Reference Number</t>
  </si>
  <si>
    <t>Category</t>
  </si>
  <si>
    <t>ATSB Investigation</t>
  </si>
  <si>
    <t>Location</t>
  </si>
  <si>
    <t>Latitude</t>
  </si>
  <si>
    <t>Longitude</t>
  </si>
  <si>
    <t>State</t>
  </si>
  <si>
    <t>Aircraft Manufacturer</t>
  </si>
  <si>
    <t>Model</t>
  </si>
  <si>
    <t>Operation Type</t>
  </si>
  <si>
    <t>Operation Sub Type</t>
  </si>
  <si>
    <t>Airspace Type</t>
  </si>
  <si>
    <t>Airspace Class</t>
  </si>
  <si>
    <t>Summary</t>
  </si>
  <si>
    <t>22/01/2020</t>
  </si>
  <si>
    <t>202000106</t>
  </si>
  <si>
    <t>Serious Incident</t>
  </si>
  <si>
    <t>Sydney Aerodrome</t>
  </si>
  <si>
    <t>NSW</t>
  </si>
  <si>
    <t>ATR - Gie Avions De Transport Regional
-----
The Boeing Company</t>
  </si>
  <si>
    <t>ATR72
-----
777</t>
  </si>
  <si>
    <t>Air Transport High Capacity
-----
Air Transport High Capacity</t>
  </si>
  <si>
    <t>Passenger
-----
Passenger</t>
  </si>
  <si>
    <t>CTR
-----
CTA</t>
  </si>
  <si>
    <t>C
-----
C</t>
  </si>
  <si>
    <t>During initial climb, the Boeing 777 turned right resulting in a loss of separation with the ATR-72 departing from the parallel runway. The investigation is continuing.</t>
  </si>
  <si>
    <t>Nil</t>
  </si>
  <si>
    <t>1/01/2020</t>
  </si>
  <si>
    <t>202000003</t>
  </si>
  <si>
    <t>Incident</t>
  </si>
  <si>
    <t/>
  </si>
  <si>
    <t>ATR - Gie Avions De Transport Regional</t>
  </si>
  <si>
    <t>ATR72</t>
  </si>
  <si>
    <t>Air Transport High Capacity</t>
  </si>
  <si>
    <t>Passenger</t>
  </si>
  <si>
    <t>CTA</t>
  </si>
  <si>
    <t>C</t>
  </si>
  <si>
    <t>During initial climb, the crew detected an unsafe landing gear indication and conducted a return to Sydney. The engineering inspection did not reveal any faults with the landing gear system.</t>
  </si>
  <si>
    <t>202000009</t>
  </si>
  <si>
    <t>Sydney Aerodrome, 219Â° M 28Km</t>
  </si>
  <si>
    <t>During climb, the crew received an unsafe landing gear indication and conducted a return to Sydney. The engineering inspection did not reveal any faults with the landing gear system.</t>
  </si>
  <si>
    <t>10/12/2019</t>
  </si>
  <si>
    <t>201908817</t>
  </si>
  <si>
    <t>near Port Macquarie Aerodrome</t>
  </si>
  <si>
    <t>ATR - Gie Avions De Transport Regional
-----
Cessna Aircraft Company</t>
  </si>
  <si>
    <t>ATR72
-----
182</t>
  </si>
  <si>
    <t>Air Transport High Capacity
-----
Flying Training</t>
  </si>
  <si>
    <t>Passenger
-----
Unknown</t>
  </si>
  <si>
    <t>CTAF
-----
CTAF</t>
  </si>
  <si>
    <t>G
-----
G</t>
  </si>
  <si>
    <t>During approach, ATC passed traffic to the crew of the ATR 72 on the Cessna 182 conducting circuits. The crew of the ATR 72 received a TCAS TA and was unable to re-establish communication with the 182. The 182 conducted a turn toward the aircraft at the same level and the ATR 72 conducted a missed approach to increase separation. The ATR 72 diverted to Sydney due to low visibility conditions.</t>
  </si>
  <si>
    <t>9/12/2019</t>
  </si>
  <si>
    <t>201909407</t>
  </si>
  <si>
    <t>Canberra Aerodrome</t>
  </si>
  <si>
    <t>ACT</t>
  </si>
  <si>
    <t>CTR</t>
  </si>
  <si>
    <t>During landing, the aircraft struck a magpie.</t>
  </si>
  <si>
    <t>8/12/2019</t>
  </si>
  <si>
    <t>201909387</t>
  </si>
  <si>
    <t>During the pre-flight inspection, evidence of a birdstrike was detected. It could not be determined when the strike occurred.</t>
  </si>
  <si>
    <t>29/11/2019</t>
  </si>
  <si>
    <t>201909212</t>
  </si>
  <si>
    <t>Tamworth Aerodrome</t>
  </si>
  <si>
    <t>ATR 72</t>
  </si>
  <si>
    <t>D</t>
  </si>
  <si>
    <t>During take-off, the aircraft struck a black kite (bird).</t>
  </si>
  <si>
    <t>28/11/2019</t>
  </si>
  <si>
    <t>201909194</t>
  </si>
  <si>
    <t>During take-off, the aircraft struck a kite (bird).</t>
  </si>
  <si>
    <t>7/11/2019</t>
  </si>
  <si>
    <t>201908565</t>
  </si>
  <si>
    <t>During the post-flight inspection, evidence of a birdstrike was detected. It could not be determined when the strike occurred.</t>
  </si>
  <si>
    <t>28/10/2019</t>
  </si>
  <si>
    <t>201908267</t>
  </si>
  <si>
    <t>While taxiing for departure, the aircraft crossed a lit stop bar.</t>
  </si>
  <si>
    <t>23/10/2019</t>
  </si>
  <si>
    <t>201908027</t>
  </si>
  <si>
    <t>Sydney Aerodrome, 171Â° T 17Km</t>
  </si>
  <si>
    <t>ATR72
-----
737</t>
  </si>
  <si>
    <t>CTA
-----
CTA</t>
  </si>
  <si>
    <t>During IVA procedures, the crew of the Boeing 737 received a TCAS RA on the ATR 72 on approach to the parallel runway and conducted a missed approach.</t>
  </si>
  <si>
    <t>19/10/2019</t>
  </si>
  <si>
    <t>201907576</t>
  </si>
  <si>
    <t>Albury Aerodrome</t>
  </si>
  <si>
    <t>ATR - Gie Avions De Transport Regional
-----
Piper Aircraft Corp</t>
  </si>
  <si>
    <t>ATR72
-----
PA-28</t>
  </si>
  <si>
    <t>Passenger
-----
Training Solo</t>
  </si>
  <si>
    <t>D
-----
D</t>
  </si>
  <si>
    <t>Passing 1,300 ft on a straight in approach to runway 25 at Albury Airport in visual meteorological conditions, the flight crew of the ATR 72 received a traffic collision avoidance system alert on the PA-28, which was turning final for runway 25. The flight crew of the ATR 72 conducted a missed approach to increase separation between the two aircraft.  The investigation is continuing.</t>
  </si>
  <si>
    <t>17/10/2019</t>
  </si>
  <si>
    <t>201907896</t>
  </si>
  <si>
    <t>15/10/2019</t>
  </si>
  <si>
    <t>201907775</t>
  </si>
  <si>
    <t>Middlemount Aerodrome</t>
  </si>
  <si>
    <t>QLD</t>
  </si>
  <si>
    <t>CTAF</t>
  </si>
  <si>
    <t>G</t>
  </si>
  <si>
    <t>During landing, the aircraft struck a bird.</t>
  </si>
  <si>
    <t>25/09/2019</t>
  </si>
  <si>
    <t>201907127</t>
  </si>
  <si>
    <t>After receiving a take-off clearance while holding on taxiway G, the aircraft entered and lined up to depart from runway 30 instead of runway 35. The controller instructed the aircraft to stop and taxi to holding point N for departure from runway 35. The investigation is continuing.</t>
  </si>
  <si>
    <t>20/09/2019</t>
  </si>
  <si>
    <t>201907037</t>
  </si>
  <si>
    <t>During landing, the aircraft struck a starling.</t>
  </si>
  <si>
    <t>18/08/2019</t>
  </si>
  <si>
    <t>201905955</t>
  </si>
  <si>
    <t>Sydney Aerodrome, 230Â° M 28Km</t>
  </si>
  <si>
    <t>During climb, the crew observed a remotely piloted aircraft operating at 5,000 ft.</t>
  </si>
  <si>
    <t>9/08/2019</t>
  </si>
  <si>
    <t>201906020</t>
  </si>
  <si>
    <t>near Sydney Aerodrome</t>
  </si>
  <si>
    <t>Air Transport Low Capacity
-----
Air Transport High Capacity</t>
  </si>
  <si>
    <t>During IVA procedures, the crew of the ATR 72 received a TCAS RA from the Boeing 777 on approach to the parallel runway.</t>
  </si>
  <si>
    <t>3/07/2019</t>
  </si>
  <si>
    <t>201905126</t>
  </si>
  <si>
    <t>During final approach, the crew received erroneous glideslope indications due to an aircraft taxiing past the glideslope antenna.</t>
  </si>
  <si>
    <t>1/07/2019</t>
  </si>
  <si>
    <t>201904849</t>
  </si>
  <si>
    <t>ATR - Gie Avions De Transport Regional
-----
Victa Ltd</t>
  </si>
  <si>
    <t>ATR72
-----
115</t>
  </si>
  <si>
    <t>Air Transport High Capacity
-----
General Aviation-Unknown</t>
  </si>
  <si>
    <t>CTR
-----
CTR</t>
  </si>
  <si>
    <t>During final approach at 300 ft, the crew of the ATR72 observed the Victa Airtourer in close proximity at the same altitude. ATC instructed the pilot of the Airtourer to conduct a missed approach due to close proximity.</t>
  </si>
  <si>
    <t>29/06/2019</t>
  </si>
  <si>
    <t>201904852</t>
  </si>
  <si>
    <t>Melbourne Aerodrome</t>
  </si>
  <si>
    <t>VIC</t>
  </si>
  <si>
    <t>During approach, the crew received several erroneous E/GPWS alerts. The engineering inspection did not reveal any faults to the E/GPWS.</t>
  </si>
  <si>
    <t>19/06/2019</t>
  </si>
  <si>
    <t>201904751</t>
  </si>
  <si>
    <t>Airbus
-----
ATR - Gie Avions De Transport Regional</t>
  </si>
  <si>
    <t>A320
-----
ATR72</t>
  </si>
  <si>
    <t>ATC failed to pass traffic between the Airbus A320 pushing back off the bay and the ATR 72 taxiing behind.</t>
  </si>
  <si>
    <t>18/06/2019</t>
  </si>
  <si>
    <t>201904740</t>
  </si>
  <si>
    <t>near Williamtown Aerodrome</t>
  </si>
  <si>
    <t>ATR - Gie Avions De Transport Regional
-----
Lockheed Martin Corp</t>
  </si>
  <si>
    <t>ATR72
-----
F-35</t>
  </si>
  <si>
    <t>Air Transport High Capacity
-----
Military</t>
  </si>
  <si>
    <t>Passenger
-----
Other</t>
  </si>
  <si>
    <t>During cruise, the crew of the ATR 72 received a TCAS RA on an outbound Lockheed Martin F-35. The crew conducted a climb to maintain separation.</t>
  </si>
  <si>
    <t>29/05/2019</t>
  </si>
  <si>
    <t>201904131</t>
  </si>
  <si>
    <t>During take-off, the aircraft struck a bird.</t>
  </si>
  <si>
    <t>18/05/2019</t>
  </si>
  <si>
    <t>201903744</t>
  </si>
  <si>
    <t>Duriing landing, the aircraft struck a bird.</t>
  </si>
  <si>
    <t>13/05/2019</t>
  </si>
  <si>
    <t>201903627</t>
  </si>
  <si>
    <t>During IVA procedures, the crew of the Boeing 737 received a TCAS RA on the ATR 72 on approach to the parallel runway.</t>
  </si>
  <si>
    <t>2/05/2019</t>
  </si>
  <si>
    <t>201903310</t>
  </si>
  <si>
    <t>During taxi, the aircraft entered runway 30 without a clearance.</t>
  </si>
  <si>
    <t>23/04/2019</t>
  </si>
  <si>
    <t>201903128</t>
  </si>
  <si>
    <t>Wollongong Aerodrome, 360Â° M 26Km</t>
  </si>
  <si>
    <t>Passing FL 135 on climb, the crew observed a remotely piloted aircraft operating 200 ft below and 1 NM abeam the aircraft.</t>
  </si>
  <si>
    <t>6/04/2019</t>
  </si>
  <si>
    <t>201902362</t>
  </si>
  <si>
    <t>A321
-----
ATR72</t>
  </si>
  <si>
    <t>During IVA procedures, the ATR72 on approach to runway 34R turned left instead of right after the course deviation indicator was incorrectly set resulting in a loss of separation with the Airbus A321 on approach to the parallel runway. The controller instructed both aircraft to conduct a missed approach to maintain separation.</t>
  </si>
  <si>
    <t>24/03/2019</t>
  </si>
  <si>
    <t>201902253</t>
  </si>
  <si>
    <t>During approach, the aircraft encountered a strong updraft resulting in the crew receiving a flap overspeed alert.</t>
  </si>
  <si>
    <t>9/03/2019</t>
  </si>
  <si>
    <t>201901885</t>
  </si>
  <si>
    <t>During landing, the aircraft struck multiple galahs.</t>
  </si>
  <si>
    <t>31/01/2019</t>
  </si>
  <si>
    <t>201900860</t>
  </si>
  <si>
    <t>ATC was unable to provide visual separation to the Airbus A320 on final approach for runway 16R and the ATR 72 on final approach to the parallel runway. The ATR 72 was requested to sight the A320 for visual separation to be applied but was unable to do so due to deteriorating weather, resulting in a loss of separation.</t>
  </si>
  <si>
    <t>22/01/2019</t>
  </si>
  <si>
    <t>201900623</t>
  </si>
  <si>
    <t>21/01/2019</t>
  </si>
  <si>
    <t>201900559</t>
  </si>
  <si>
    <t>During landing, the aircraft struck a brown goshawk.</t>
  </si>
  <si>
    <t>10/01/2019</t>
  </si>
  <si>
    <t>201900251</t>
  </si>
  <si>
    <t>During landing, the aircraft struck a nankeen kestrel.</t>
  </si>
  <si>
    <t>7/01/2019</t>
  </si>
  <si>
    <t>201900206</t>
  </si>
  <si>
    <t>Port Macquarie Aerodrome</t>
  </si>
  <si>
    <t>5/01/2019</t>
  </si>
  <si>
    <t>201900143</t>
  </si>
  <si>
    <t>During approach in moderate turbulence, the crew received a GPWS WINDSHEAR alert.</t>
  </si>
  <si>
    <t>13/12/2018</t>
  </si>
  <si>
    <t>201808965</t>
  </si>
  <si>
    <t>near Canberra Aerodrome</t>
  </si>
  <si>
    <t>Passing FL 110 on descent in heavy rain, the right engine power rolled back and the engine flamed out. The engine automatically re-started within 5 seconds. While descending through 10,000 ft, the left engine power rolled back and that engine also flamed out before automatically relighting. The crew selected manual engine ignition for the remainder of the descent and landing. The investigation is continuing.</t>
  </si>
  <si>
    <t>9/12/2018</t>
  </si>
  <si>
    <t>201808866</t>
  </si>
  <si>
    <t>8/12/2018</t>
  </si>
  <si>
    <t>201809162</t>
  </si>
  <si>
    <t>23/11/2018</t>
  </si>
  <si>
    <t>201808422</t>
  </si>
  <si>
    <t>ATR72
-----
747</t>
  </si>
  <si>
    <t>The Boeing 747 climbed above its assigned level resulting in a loss of separation with the ATR 72 on descent. The crew of the ATR 72 received a TCAS RA.</t>
  </si>
  <si>
    <t>19/11/2018</t>
  </si>
  <si>
    <t>201808455</t>
  </si>
  <si>
    <t>During landing, the Boeing 737 crossed the threshold for runway 34L prior to the departing ATR 72 becoming airborne resulting in a loss of runway separation.</t>
  </si>
  <si>
    <t>8/11/2018</t>
  </si>
  <si>
    <t>201807963</t>
  </si>
  <si>
    <t>During IVA procedures, the Boeing 737 failed to capture the localiser and deviated off the glideslope for runway 16R resulting in a loss of separation with the ATR72 on approach to the parallel runway.</t>
  </si>
  <si>
    <t>18/10/2018</t>
  </si>
  <si>
    <t>201807507</t>
  </si>
  <si>
    <t>Passing 200 ft on approach, the crew received an E/GPWS GLIDESLOPE alert.</t>
  </si>
  <si>
    <t>14/10/2018</t>
  </si>
  <si>
    <t>201807270</t>
  </si>
  <si>
    <t>Albury Aerodrome, 177Â° T 2Km</t>
  </si>
  <si>
    <t>Passing 2,100 ft on approach, the crew observed a remotely piloted aircraft 100 ft below.</t>
  </si>
  <si>
    <t>10/10/2018</t>
  </si>
  <si>
    <t>201807585</t>
  </si>
  <si>
    <t>Auckland International Airport</t>
  </si>
  <si>
    <t>Other</t>
  </si>
  <si>
    <t>A320
-----
ATR</t>
  </si>
  <si>
    <t>Air Transport High Capacity
-----
Unknown</t>
  </si>
  <si>
    <t>Other
-----
Other</t>
  </si>
  <si>
    <t>Foreign
-----
Foreign</t>
  </si>
  <si>
    <t>During approach, the Airbus A320 closed on the slower proceeding ATR 72, resulting in a loss of separation.</t>
  </si>
  <si>
    <t>23/09/2018</t>
  </si>
  <si>
    <t>201806806</t>
  </si>
  <si>
    <t>Sydney Aerodrome, 340Â° M 7Km</t>
  </si>
  <si>
    <t>Passing 1,400 ft on approach, the crew observed a remotely piloted aircraft operating 30 m to the right of the aircraft.</t>
  </si>
  <si>
    <t>18/09/2018</t>
  </si>
  <si>
    <t>201806703</t>
  </si>
  <si>
    <t>The safety vehicle reported clear the runway after the aircraft had been cleared for take-off.</t>
  </si>
  <si>
    <t>14/09/2018</t>
  </si>
  <si>
    <t>201806645</t>
  </si>
  <si>
    <t>During IVA procedures, the crew of the ATR 72 and Boeing 737 received TCAS RA's on approach to parallel runways.</t>
  </si>
  <si>
    <t>27/08/2018</t>
  </si>
  <si>
    <t>201805984</t>
  </si>
  <si>
    <t>Unknown</t>
  </si>
  <si>
    <t>4/07/2018</t>
  </si>
  <si>
    <t>201803310</t>
  </si>
  <si>
    <t>During taxi, strong tail winds caused exhaust blow back. The crew received an engine overheat warning for the no. 2 engine and a fire warning for the no. 1 engine. Both engines were subsequently shut down.</t>
  </si>
  <si>
    <t>2/07/2018</t>
  </si>
  <si>
    <t>201804747</t>
  </si>
  <si>
    <t>During approach, the crew received a GPWS GLIDESLOPE alert.</t>
  </si>
  <si>
    <t>31/05/2018</t>
  </si>
  <si>
    <t>201804130</t>
  </si>
  <si>
    <t>201804147</t>
  </si>
  <si>
    <t>Camden Aerodrome, 253.78Â° T 56Km (AKMIR (IFR))</t>
  </si>
  <si>
    <t>ATR - Gie Avions De Transport Regional
-----
S.A.A.B. Aircraft Co</t>
  </si>
  <si>
    <t>ATR72
-----
340</t>
  </si>
  <si>
    <t>Air Transport High Capacity
-----
Air Transport Low Capacity</t>
  </si>
  <si>
    <t>The SAAB 340 entering a holding pattern descended below its assigned level resulting in a loss of separation with the holding ATR72 on a reciprocal track.</t>
  </si>
  <si>
    <t>28/05/2018</t>
  </si>
  <si>
    <t>201804051</t>
  </si>
  <si>
    <t>During approach, the crew received a momentary GPWS GLIDESLOPE alert.</t>
  </si>
  <si>
    <t>16/05/2018</t>
  </si>
  <si>
    <t>201803806</t>
  </si>
  <si>
    <t>8/05/2018</t>
  </si>
  <si>
    <t>201803598</t>
  </si>
  <si>
    <t>During taxi, the aircraft struck a wood duck.</t>
  </si>
  <si>
    <t>5/05/2018</t>
  </si>
  <si>
    <t>201803544</t>
  </si>
  <si>
    <t>Passing 5,500 ft on approach, the crew observed a remotely piloted aircraft operating in close proximity.</t>
  </si>
  <si>
    <t>11/04/2018</t>
  </si>
  <si>
    <t>201802983</t>
  </si>
  <si>
    <t>During approach, the crew received an E/GPWS GLIDESLOPE alert.</t>
  </si>
  <si>
    <t>19/03/2018</t>
  </si>
  <si>
    <t>201802372</t>
  </si>
  <si>
    <t>During climb, the aircraft struck multiple birds.</t>
  </si>
  <si>
    <t>18/03/2018</t>
  </si>
  <si>
    <t>201802334</t>
  </si>
  <si>
    <t>During landing, the aircraft struck a kite (bird).</t>
  </si>
  <si>
    <t>26/02/2018</t>
  </si>
  <si>
    <t>201801549</t>
  </si>
  <si>
    <t>During landing, the aircraft struck a flying fox.</t>
  </si>
  <si>
    <t>9/02/2018</t>
  </si>
  <si>
    <t>201801043</t>
  </si>
  <si>
    <t>Sydney Aerodrome, 256.26Â° T 19Km (ANKUB (IFR))</t>
  </si>
  <si>
    <t>Passing 6,000 ft on approach, the crew observed a remotely piloted aircraft pass overhead on the left hand side of the aircraft.</t>
  </si>
  <si>
    <t>28/01/2018</t>
  </si>
  <si>
    <t>201801323</t>
  </si>
  <si>
    <t>Camden Aerodrome, 250.75Â° M 17Km (ODALE (IFR))</t>
  </si>
  <si>
    <t>Passing FL 120 on descent, the crew reported passing a remotely piloted aircraft.</t>
  </si>
  <si>
    <t>16/01/2018</t>
  </si>
  <si>
    <t>201800071</t>
  </si>
  <si>
    <t>During approach, the captain became partially incapacitated.</t>
  </si>
  <si>
    <t>13/01/2018</t>
  </si>
  <si>
    <t>201800052</t>
  </si>
  <si>
    <t>During engine start, the crew received an engine fire warning on the no. 1 engine. The engine was shut down and the crew discharged the engine bay fire extinguishers. The engineering inspection revealed no evidence of a fire and suspect the engine fire indication was due to a strong tailwind pushing heat from the engine back into the nacelle.</t>
  </si>
  <si>
    <t>11/01/2018</t>
  </si>
  <si>
    <t>201800389</t>
  </si>
  <si>
    <t>During approach, the aircraft struck a bird.</t>
  </si>
  <si>
    <t>8/12/2017</t>
  </si>
  <si>
    <t>201706437</t>
  </si>
  <si>
    <t>Scone Aerodrome, 68.21Â° T 71Km (COOPA (IFR))</t>
  </si>
  <si>
    <t>ATR - Gie Avions De Transport Regional
-----
Bombardier Inc</t>
  </si>
  <si>
    <t>ATR72
-----
DHC-8</t>
  </si>
  <si>
    <t>A
-----
A</t>
  </si>
  <si>
    <t>The controller issued a late descent instruction to the crew of the Bombardier DHC-8 which resulted in a loss of separation assurance with the ATR72 on a converging track.</t>
  </si>
  <si>
    <t>5/12/2017</t>
  </si>
  <si>
    <t>201706371</t>
  </si>
  <si>
    <t>Sydney Aerodrome, 250.75Â° M 35Km (10nm ODALE IFR)</t>
  </si>
  <si>
    <t>A</t>
  </si>
  <si>
    <t>Passing FL 140 on descent, the crew observed a gold cylindrical remotely piloted aircraft pass approximately 10 m below.</t>
  </si>
  <si>
    <t>27/11/2017</t>
  </si>
  <si>
    <t>201706151</t>
  </si>
  <si>
    <t>During landing, the aircraft struck a galah.</t>
  </si>
  <si>
    <t>20/11/2017</t>
  </si>
  <si>
    <t>201705415</t>
  </si>
  <si>
    <t>During descent, smoke and subsequent fumes were detected in the cabin emanating from a passenger service unit. After extensive engineering inspections, engineers were unable to determine the source of the smoke and fumes. The DC bus power control unit was replaced as a precaution.</t>
  </si>
  <si>
    <t>19/11/2017</t>
  </si>
  <si>
    <t>201705414</t>
  </si>
  <si>
    <t>Accident</t>
  </si>
  <si>
    <t>On 19 November 2017, a GIE Avions de Transport Regional ATR 72-212A aircraft, registered VH-FVZ, was being operated by Virgin Australia Airlines as flight VA646 from Sydney, New South Wales to Canberra, Australian Capital Territory. On board the aircraft were the captain, first officer, a check captain, two cabin crew members and 67 passengers.
During the landing approach, the aircraft speed increased above the maximum allowable and the first officer (the pilot flying â€“ the captain was the pilot monitoring) assessed that the aircraft was overshooting the desired approach profile. In response, the first officer reduced engine power to idle at a height of 118 ft above the runway elevation, leading to an increasing descent rate and reducing speed.
The aircraft subsequently landed heavily on the main landing gear, tail skid and underside of the rear fuselage. No persons were injured, however the aircraft sustained substantial damage.</t>
  </si>
  <si>
    <t>17/11/2017</t>
  </si>
  <si>
    <t>201705969</t>
  </si>
  <si>
    <t>During approach, the crew received an E/PWS GLIDESLOPE alert</t>
  </si>
  <si>
    <t>16/11/2017</t>
  </si>
  <si>
    <t>201705590</t>
  </si>
  <si>
    <t>During take-off, the crew received an incorrect configuration master warning and rejected the take-off. The engineers did not detect any faults with the aircraft.</t>
  </si>
  <si>
    <t>9/10/2017</t>
  </si>
  <si>
    <t>201705264</t>
  </si>
  <si>
    <t>6/10/2017</t>
  </si>
  <si>
    <t>201705171</t>
  </si>
  <si>
    <t>Sydney Aerodrome, N M 37Km</t>
  </si>
  <si>
    <t>Passing 7,500 ft on descent, the crew observed a multi rotor remotely pilot aircraft pass approximately 500â€“1,000 ft below their aircraft.</t>
  </si>
  <si>
    <t>5/10/2017</t>
  </si>
  <si>
    <t>201705007</t>
  </si>
  <si>
    <t>During approach, the Boeing 737 closed on the slower preceding ATR72 resulting in a loss of separation on the same track. ATC instructed the 737 to climb to increase separation.</t>
  </si>
  <si>
    <t>4/10/2017</t>
  </si>
  <si>
    <t>201704996</t>
  </si>
  <si>
    <t>During final approach, the aircraft encountered moderate turbulence and received an E/GPWS GLIDESOPE warning.</t>
  </si>
  <si>
    <t>29/09/2017</t>
  </si>
  <si>
    <t>201704830</t>
  </si>
  <si>
    <t>19/09/2017</t>
  </si>
  <si>
    <t>201704505</t>
  </si>
  <si>
    <t>During IVA procedures, the crew of the Boeing 737 received a TCAS RA on the ATR 72 resulting in the crew of the 737 conducting a missed approach.</t>
  </si>
  <si>
    <t>201704694</t>
  </si>
  <si>
    <t>During approach, the crew misheard the heading instruction from ATC and turned onto the incorrect heading. ATC did not detect the incorrect read back.</t>
  </si>
  <si>
    <t>11/09/2017</t>
  </si>
  <si>
    <t>201704318</t>
  </si>
  <si>
    <t>ATR - Gie Avions De Transport Regional
-----
ATR - Gie Avions De Transport Regional</t>
  </si>
  <si>
    <t>ATR72
-----
ATR72</t>
  </si>
  <si>
    <t>During independent visual approach to runway 34L, the ATR72 received a TCAS-RA on another ATR72 on approach to runway 34R.</t>
  </si>
  <si>
    <t>7/09/2017</t>
  </si>
  <si>
    <t>201704642</t>
  </si>
  <si>
    <t>Brisbane Aerodrome</t>
  </si>
  <si>
    <t>During cruise, the no. 1 generator failed. Engineers replaced the no. 1 generator.</t>
  </si>
  <si>
    <t>5/09/2017</t>
  </si>
  <si>
    <t>201704110</t>
  </si>
  <si>
    <t>During the independent visual approach, the crew of the Boeing 737 received a TCAS RA alert on the ATR72 on approach to the parallel runway.</t>
  </si>
  <si>
    <t>201704107</t>
  </si>
  <si>
    <t>25/08/2017</t>
  </si>
  <si>
    <t>201703992</t>
  </si>
  <si>
    <t>ATR - Gie Avions De Transport Regional
-----
Pacific Aerospace Corporation</t>
  </si>
  <si>
    <t>ATR72
-----
CT/4</t>
  </si>
  <si>
    <t>During a missed approach procedure from runway 12L, the crew of the ATR72 received a TCAS RA from the Pacific Aerospace CT4 which was on downwind for runway 12L.</t>
  </si>
  <si>
    <t>201703978</t>
  </si>
  <si>
    <t>ATR - Gie Avions De Transport Regional
-----
The Boeing Company</t>
  </si>
  <si>
    <t>ATR72
-----
787</t>
  </si>
  <si>
    <t>During IVA procedures, the controller instructed the Boeing 787 to turn 180 when 360 was intended, resulting in a loss of separation with the approaching ATR 72.</t>
  </si>
  <si>
    <t>24/08/2017</t>
  </si>
  <si>
    <t>201703699</t>
  </si>
  <si>
    <t>near Tamworth Aerodrome</t>
  </si>
  <si>
    <t>OCTA</t>
  </si>
  <si>
    <t>During climb, the crew detected a fuel leak from the No. 1 engine and returned the aircraft to the aerodrome. The engineering inspection revealed the fuel leak was from the fuel quantity probe No. 4 harness O-ring.</t>
  </si>
  <si>
    <t>18/08/2017</t>
  </si>
  <si>
    <t>201703876</t>
  </si>
  <si>
    <t>During approach, the aircraft encountered wind and turbulence resulting in a E/GPWS GLIDESLOPE warning.</t>
  </si>
  <si>
    <t>17/08/2017</t>
  </si>
  <si>
    <t>201703643</t>
  </si>
  <si>
    <t>Moranbah Aerodrome, ESE T 28Km</t>
  </si>
  <si>
    <t>During descent, the Capitan received multiple spurious E/GPWS alerts. The engineering inspection could not detect any faults with the aircraft.</t>
  </si>
  <si>
    <t>15/08/2017</t>
  </si>
  <si>
    <t>201703818</t>
  </si>
  <si>
    <t>During maintenance at the bay, the ATR 72 encountered jet blast from an Airbus A320 powering up to taxi in. The jet blast blew an upper cowl panel into an aerodynamic fairing resulting in minor damage to the aircraft.</t>
  </si>
  <si>
    <t>10/08/2017</t>
  </si>
  <si>
    <t>201703722</t>
  </si>
  <si>
    <t>Moranbah Aerodrome</t>
  </si>
  <si>
    <t>During take-off, the aircraft struck a black kite (bird).</t>
  </si>
  <si>
    <t>6/08/2017</t>
  </si>
  <si>
    <t>201703659</t>
  </si>
  <si>
    <t>During final approach, the aircraft encountered moderate windshear and subsequently received an E/GPWS GLIDESLOPE alert.</t>
  </si>
  <si>
    <t>28/07/2017</t>
  </si>
  <si>
    <t>201703481</t>
  </si>
  <si>
    <t>Sydney Aerodrome, 340Â° M 13Km</t>
  </si>
  <si>
    <t>During approach to runway 16L at 2,500 ft, two remotely piloted aircraft flew passed the aircraft.</t>
  </si>
  <si>
    <t>27/07/2017</t>
  </si>
  <si>
    <t>201703428</t>
  </si>
  <si>
    <t>Sydney Aerodrome, 0Â° M 13Km</t>
  </si>
  <si>
    <t>ATR72
-----
BD-700</t>
  </si>
  <si>
    <t>Air Transport High Capacity
-----
Private</t>
  </si>
  <si>
    <t>Passenger
-----
Pleasure / Travel</t>
  </si>
  <si>
    <t>The crew of the approaching ATR 72 and the climbing Bombardier BD-700 received TCAS RA's due to the excessive climb rate of the BD-700. Both crews followed the TCAS instructions to ensure separation was maintained.</t>
  </si>
  <si>
    <t>26/06/2017</t>
  </si>
  <si>
    <t>201702930</t>
  </si>
  <si>
    <t>During approach, the aircraft struck multiple cockatoos.</t>
  </si>
  <si>
    <t>21/06/2017</t>
  </si>
  <si>
    <t>201702818</t>
  </si>
  <si>
    <t>During IVA procedures, the crew of the ATR 72 approaching runway 34R and the Boeing 737 approaching runway 34L each received TCAS RA alerts from the other aircraft. The crew of the 737 conducted a missed approach.</t>
  </si>
  <si>
    <t>18/06/2017</t>
  </si>
  <si>
    <t>201702793</t>
  </si>
  <si>
    <t>During take-off, the aircraft struck a bat.</t>
  </si>
  <si>
    <t>16/06/2017</t>
  </si>
  <si>
    <t>201702787</t>
  </si>
  <si>
    <t>Rockhampton Aerodrome</t>
  </si>
  <si>
    <t>During take-off, the aircraft struck multiple galahs.</t>
  </si>
  <si>
    <t>11/06/2017</t>
  </si>
  <si>
    <t>201702659</t>
  </si>
  <si>
    <t>During climb, the crew received a spurious E/GPWS alert and subsequent failure indication. The engineering inspection revealed the radar altimeter input failing to be the cause of the spurious alerts.</t>
  </si>
  <si>
    <t>28/05/2017</t>
  </si>
  <si>
    <t>201702548</t>
  </si>
  <si>
    <t>During take-off, the aircraft encountered minor wake turbulence resulting in a EGPWS BANK ANGLE alert.</t>
  </si>
  <si>
    <t>16/05/2017</t>
  </si>
  <si>
    <t>201702290</t>
  </si>
  <si>
    <t>During climb, the crew detected multiple spurious avionic alerts.</t>
  </si>
  <si>
    <t>27/04/2017</t>
  </si>
  <si>
    <t>201702118</t>
  </si>
  <si>
    <t>The IVA standard was incorrectly applied resulting in a loss of separation between the approaching ATR 72 and the Airbus A320 on parallel runways.</t>
  </si>
  <si>
    <t>25/04/2017</t>
  </si>
  <si>
    <t>201702033</t>
  </si>
  <si>
    <t>During the initial climb, the aircraft struck a bird.</t>
  </si>
  <si>
    <t>5/04/2017</t>
  </si>
  <si>
    <t>201701573</t>
  </si>
  <si>
    <t>Canberra Aerodrome, SW M 21Km (Tidbinbilla)</t>
  </si>
  <si>
    <t>Passing 10,000 ft on approach, the aircraft flew past a remotely piloted aircraft at the same altitude.</t>
  </si>
  <si>
    <t>2/04/2017</t>
  </si>
  <si>
    <t>201701577</t>
  </si>
  <si>
    <t>On 2 April 2017, at about 1730 Eastern Standard Time (EST), a Virgin Australia ATR - Gie Avions De Transport Regional ATR72-212A aircraft, registered VH-FVL, departed Moranbah for Brisbane, Queensland on a scheduled passenger service. There were two flight crew, two cabin crew and 38 passengers on board the aircraft. The captain was the pilot flying and the first officer was the pilot monitoring. On approach to Brisbane Airport the crew were cleared for a visual approach to runway 19. While the aircraft was turning onto the final approach leg, the captain directed the first officer to select flap 30, set the airspeed indicator bug to the approach speed, and start the before landing checklist, which the first officer did after completing a radio call with air traffic control. As the aircraft descended on the final approach leg, the captain had to keep adjusting the aircraft attitude and engine torque setting to control the speed. Passing about 1,000 ft, the captain recognised that the speed was too high, but thought this could be corrected by 500 ft and continued the approach. The first officer also noticed the unusually high speed and called out â€˜speedâ€™ to alert the captain. Passing 173 ft, the enhanced ground proximity warning system activated with the alert, TOO LOW FLAP. The captain immediately conducted a missed approach.</t>
  </si>
  <si>
    <t>29/03/2017</t>
  </si>
  <si>
    <t>201701485</t>
  </si>
  <si>
    <t>During landing, the aircraft struck multiple flying fox.</t>
  </si>
  <si>
    <t>28/03/2017</t>
  </si>
  <si>
    <t>201701473</t>
  </si>
  <si>
    <t>After landing, the aircraft vacated runway 30R and crossed runway 18 without a clearance.</t>
  </si>
  <si>
    <t>201701517</t>
  </si>
  <si>
    <t>Rockhampton Aerodrome, 158Â° M 70Km</t>
  </si>
  <si>
    <t>During climb passing FL130, the crew received an spurious E/GPWS TERRAIN alert. The engineering inspection did not reveal the E/GPWS.</t>
  </si>
  <si>
    <t>24/03/2017</t>
  </si>
  <si>
    <t>201701391</t>
  </si>
  <si>
    <t>23/03/2017</t>
  </si>
  <si>
    <t>201701378</t>
  </si>
  <si>
    <t>During take-off, the aircraft struck a masked lapwing.</t>
  </si>
  <si>
    <t>201701369</t>
  </si>
  <si>
    <t>abeam Sunshine Coast Aerodrome</t>
  </si>
  <si>
    <t>During cruise, the aircraft encountered airframe icing, resulting in the crew descending to a lower altitude. During the approach, the crew conducted a reduced flap landing, resulting in receiving an E/GPWS TOO LOW FLAP alert.</t>
  </si>
  <si>
    <t>22/03/2017</t>
  </si>
  <si>
    <t>201701503</t>
  </si>
  <si>
    <t>During the approach, the crew received an E/GPWS TERRAIN alert.</t>
  </si>
  <si>
    <t>16/03/2017</t>
  </si>
  <si>
    <t>201701283</t>
  </si>
  <si>
    <t>During take-off, the aircraft struck a magpie.</t>
  </si>
  <si>
    <t>201701179</t>
  </si>
  <si>
    <t>Nowra Aerodrome, 325.05Â° T 42Km (EXETA (IFR))</t>
  </si>
  <si>
    <t>During the step climb, the crew of the Bombardier DHC-8 received a TCAS-RA on the ATR72 climbing above.</t>
  </si>
  <si>
    <t>10/03/2017</t>
  </si>
  <si>
    <t>201701172</t>
  </si>
  <si>
    <t>During the take-off, the aircraft struck a magpie.</t>
  </si>
  <si>
    <t>22/02/2017</t>
  </si>
  <si>
    <t>201700764</t>
  </si>
  <si>
    <t>Williamtown Aerodrome, 333Â° T 77Km (TIMBO (IFR))</t>
  </si>
  <si>
    <t>E</t>
  </si>
  <si>
    <t>During cruise at Flight Level (FL) 180, the Centralized Crew Alerting System (CCAS) alerted the flight crew to a failure of the number one static inverter. At 1453:43, the cockpit master warning activated and the CCAS displayed an electrical smoke warning. The flight crew immediately donned oxygen masks and enacted the smoke checklist memory items. The crew diverted the aircraft to Newcastle. The aircraft was not damaged and no persons were injured during the incident.</t>
  </si>
  <si>
    <t>17/02/2017</t>
  </si>
  <si>
    <t>201700845</t>
  </si>
  <si>
    <t>Sydney Aerodrome, SW M 56Km</t>
  </si>
  <si>
    <t>ATR72
-----
PA-32</t>
  </si>
  <si>
    <t>During cruise, the Piper PA-32 entered controlled airspace without a clearance resulting in a loss of separation with the ATR72 on a reciprocal track.</t>
  </si>
  <si>
    <t>10/02/2017</t>
  </si>
  <si>
    <t>201700728</t>
  </si>
  <si>
    <t>During approach, the aircraft encountered windshear and the crew conducted a missed approach.</t>
  </si>
  <si>
    <t>4/02/2017</t>
  </si>
  <si>
    <t>201700614</t>
  </si>
  <si>
    <t>During landing, the aircraft struck a welcome swallow.</t>
  </si>
  <si>
    <t>15/01/2017</t>
  </si>
  <si>
    <t>201700430</t>
  </si>
  <si>
    <t>Amberley Aerodrome, 301Â° T 35Km (SHANO (IFR))</t>
  </si>
  <si>
    <t>During descent, the Boeing 737 was approved to deviate around weather. An altitude restriction was issued to the outbound ATR72 on a converging track without the low QNH being accounted for, resulting in a loss of separation.</t>
  </si>
  <si>
    <t>14/01/2017</t>
  </si>
  <si>
    <t>201700413</t>
  </si>
  <si>
    <t>Wollongong Aerodrome, 359.37Â° T 26Km (CORDO (IFR))</t>
  </si>
  <si>
    <t>ATR72
-----
208</t>
  </si>
  <si>
    <t>Air Transport High Capacity
-----
Sports Aviation</t>
  </si>
  <si>
    <t>Passenger
-----
Parachute Operations</t>
  </si>
  <si>
    <t>A loss of separation occurred between the ATR72 on climb and the Cessna 208 on a diverging track.</t>
  </si>
  <si>
    <t>29/11/2016</t>
  </si>
  <si>
    <t>201605335</t>
  </si>
  <si>
    <t>During landing, the aircraft struck a northern freetail bat.</t>
  </si>
  <si>
    <t>9/11/2016</t>
  </si>
  <si>
    <t>201608515</t>
  </si>
  <si>
    <t>During cruise, the aircraft was struck by lightning.</t>
  </si>
  <si>
    <t>8/11/2016</t>
  </si>
  <si>
    <t>201604999</t>
  </si>
  <si>
    <t>During pre-flight preparation, the incorrect flight plan was entered into the aircraft navigation system. ATC issued the crew with a vector to regain the correct track.</t>
  </si>
  <si>
    <t>3/11/2016</t>
  </si>
  <si>
    <t>201603973</t>
  </si>
  <si>
    <t>Brisbane Aerodrome, N M 2Km</t>
  </si>
  <si>
    <t>During approach, the crew received a smoke warning indication and reported smoke in the cockpit. Engineers replaced the No. 1 static inverter.</t>
  </si>
  <si>
    <t>24/10/2016</t>
  </si>
  <si>
    <t>201603555</t>
  </si>
  <si>
    <t>During take-off, the aircraft struck multiple pigeons and the crew rejected the take off.</t>
  </si>
  <si>
    <t>7/10/2016</t>
  </si>
  <si>
    <t>201603272</t>
  </si>
  <si>
    <t>near Moranbah Aerodrome</t>
  </si>
  <si>
    <t>During cruise, the crew detected an electrical fault and burning fumes in the galley. Engineers reset the bus power control unit and operations returned to normal.</t>
  </si>
  <si>
    <t>4/10/2016</t>
  </si>
  <si>
    <t>201604506</t>
  </si>
  <si>
    <t>Sydney Aerodrome, 243Â° T 37Km (MITSA (IFR))</t>
  </si>
  <si>
    <t>During descent, the aircraft encountered turbulence and descended below the assigned altitude.</t>
  </si>
  <si>
    <t>3/10/2016</t>
  </si>
  <si>
    <t>201603270</t>
  </si>
  <si>
    <t>Following engine-start, smoke and fumes were detected in the cockpit and subsequent fumes were detected in the cabin. Engineers replaced a faulty seal and o-ring in the left engine bleed-air system.</t>
  </si>
  <si>
    <t>2/10/2016</t>
  </si>
  <si>
    <t>201604482</t>
  </si>
  <si>
    <t>near Gladstone Aerodrome</t>
  </si>
  <si>
    <t>During cruise, fumes were detected in the cabin and cockpit and the crew detected an air-conditioning pack was indicating a high temperature. Engineers replaced the left air conditioning pack.</t>
  </si>
  <si>
    <t>30/09/2016</t>
  </si>
  <si>
    <t>201604447</t>
  </si>
  <si>
    <t>During climb, the anti-ice system failed and the crew conducted a return to Canberra.</t>
  </si>
  <si>
    <t>28/09/2016</t>
  </si>
  <si>
    <t>201604420</t>
  </si>
  <si>
    <t>Cairns Aerodrome, 0Â° M 6Km</t>
  </si>
  <si>
    <t>ATR - Gie Avions De Transport Regional
-----
de Havilland Canada</t>
  </si>
  <si>
    <t>ATR42
-----
DHC-6</t>
  </si>
  <si>
    <t>During approach, the crew of the de Havilland DHC-6 did not join the circuit as instructed by ATC resulting in a loss of separation with the inbound ATR42. ATC instructed the ATR42 climb and conduct a missed approach so separation could be re-established.</t>
  </si>
  <si>
    <t>26/09/2016</t>
  </si>
  <si>
    <t>201604680</t>
  </si>
  <si>
    <t>Sydney Aerodrome, SW M 12Km</t>
  </si>
  <si>
    <t>Passing 2,800 ft on climb, the aircraft passed overhead a remotely piloted aircraft.</t>
  </si>
  <si>
    <t>19/09/2016</t>
  </si>
  <si>
    <t>201603036</t>
  </si>
  <si>
    <t>abeam Canberra Aerodrome</t>
  </si>
  <si>
    <t>During cruise, the autopilot disengaged on multiple occasions resulting in an altitude deviation. The engineers replaced the roll activator.</t>
  </si>
  <si>
    <t>5/09/2016</t>
  </si>
  <si>
    <t>201604093</t>
  </si>
  <si>
    <t>Sydney Aerodrome, 160Â° M 11Km</t>
  </si>
  <si>
    <t>During the approach to runway 34R, the crew observed a remotely piloted aircraft adjacent to the flight path.</t>
  </si>
  <si>
    <t>27/08/2016</t>
  </si>
  <si>
    <t>201603987</t>
  </si>
  <si>
    <t>During cruise, the crew determined that the incorrect QNH had been set, resulting in an inaccurate altitude display.</t>
  </si>
  <si>
    <t>24/08/2016</t>
  </si>
  <si>
    <t>201603949</t>
  </si>
  <si>
    <t>During the approach to runway 16L, ATC instructed the ATR72 conduct a missed approach as proximity behind the preceding Bombardier DHC-8 was reduced, resulting in a loss of separation.</t>
  </si>
  <si>
    <t>21/08/2016</t>
  </si>
  <si>
    <t>201602280</t>
  </si>
  <si>
    <t>During cruise, fumes were detected in the cabin and the crew received an electrical system caution. The engineering inspection did not determine the source of the fumes or reveal any faults with the electrical system.</t>
  </si>
  <si>
    <t>13/08/2016</t>
  </si>
  <si>
    <t>201602171</t>
  </si>
  <si>
    <t>During the take-off from runway 07, the crew detected a No. 1 engine electronic control (EEC) fault and rejected the take off. The crew reset the EEC.</t>
  </si>
  <si>
    <t>4/08/2016</t>
  </si>
  <si>
    <t>201603721</t>
  </si>
  <si>
    <t>near Rockhampton Aerodrome</t>
  </si>
  <si>
    <t>During climb, the landing gear began cycling against the stops in the up position and the crew detected hydraulic system pressure fluctuations. The crew removed hydraulic pressure from the landing gear to stop the cycling.</t>
  </si>
  <si>
    <t>14/07/2016</t>
  </si>
  <si>
    <t>201603460</t>
  </si>
  <si>
    <t>near Brisbane Aerodrome</t>
  </si>
  <si>
    <t>During cruise in icing conditions, the crew detected a fault with the de-ice system and conducted a descent to remain clear of icing conditions.</t>
  </si>
  <si>
    <t>8/07/2016</t>
  </si>
  <si>
    <t>201601813</t>
  </si>
  <si>
    <t>Cessnock Aerodrome, 209.54Â° T 20Km (MONDO (IFR))</t>
  </si>
  <si>
    <t>During cruise at FL190, the crew detected a de-ice system fault and conducted a precautionary descent to exit icing conditions. The engineering inspection did not reveal any faults with the anti-icing system.</t>
  </si>
  <si>
    <t>2/07/2016</t>
  </si>
  <si>
    <t>201603316</t>
  </si>
  <si>
    <t>Rockhampton Aerodrome, 0Â° M 28Km</t>
  </si>
  <si>
    <t>ATR - Gie Avions De Transport Regional
-----
Raytheon Aircraft Company</t>
  </si>
  <si>
    <t>ATR72
-----
200</t>
  </si>
  <si>
    <t>Air Transport High Capacity
-----
Aerial Work</t>
  </si>
  <si>
    <t>Passenger
-----
EMS</t>
  </si>
  <si>
    <t>During the step climb, the Raytheon B200 closed on the slower preceding ATR-72 resulting in a loss of separation.</t>
  </si>
  <si>
    <t>1/07/2016</t>
  </si>
  <si>
    <t>201603311</t>
  </si>
  <si>
    <t>The aircraft vacated the runway on to a closed taxiway, taxiing over a portable light.</t>
  </si>
  <si>
    <t>28/06/2016</t>
  </si>
  <si>
    <t>201603284</t>
  </si>
  <si>
    <t>Williamtown Aerodrome</t>
  </si>
  <si>
    <t>ATR72
-----
F/A-18</t>
  </si>
  <si>
    <t>Incorrect coordination details were passed on the formation of Boeing F/A-18's resulting in a loss of separation assurance with the ATR 72 on a crossing track.</t>
  </si>
  <si>
    <t>24/06/2016</t>
  </si>
  <si>
    <t>201603209</t>
  </si>
  <si>
    <t>During take off, the aircraft encountered severe turbulence resulting in the AHRS malfunctioning. After clearing the turbulent conditions the crew actioned the checklist items in respect of the AHRS malfunction and operations returned to normal.</t>
  </si>
  <si>
    <t>21/06/2016</t>
  </si>
  <si>
    <t>201603127</t>
  </si>
  <si>
    <t>Gladstone Aerodrome</t>
  </si>
  <si>
    <t>During take-off, the aircraft struck a magpie-lark.</t>
  </si>
  <si>
    <t>20/06/2016</t>
  </si>
  <si>
    <t>201603078</t>
  </si>
  <si>
    <t>During landing, the aircraft struck a black kite (bird).</t>
  </si>
  <si>
    <t>6/06/2016</t>
  </si>
  <si>
    <t>201607546</t>
  </si>
  <si>
    <t>During approach to runway 34, the crew observed erroneous PAPI light indications.</t>
  </si>
  <si>
    <t>4/06/2016</t>
  </si>
  <si>
    <t>201602950</t>
  </si>
  <si>
    <t>During approach, the aircraft flew through a swarm of wasps resulting in a clogged pitot tube.</t>
  </si>
  <si>
    <t>3/06/2016</t>
  </si>
  <si>
    <t>201606564</t>
  </si>
  <si>
    <t>During approach, the aircraft struck a bat.</t>
  </si>
  <si>
    <t>31/05/2016</t>
  </si>
  <si>
    <t>201602850</t>
  </si>
  <si>
    <t>27/05/2016</t>
  </si>
  <si>
    <t>201607531</t>
  </si>
  <si>
    <t>During approach, the aircraft struck multiple bats causing minor damage.</t>
  </si>
  <si>
    <t>26/05/2016</t>
  </si>
  <si>
    <t>201600737</t>
  </si>
  <si>
    <t>During climb, the crew reported a rudder control and autopilot malfunction. The aircraft returned to Brisbane. Engineers traced the fault to a wiring defect.</t>
  </si>
  <si>
    <t>19/05/2016</t>
  </si>
  <si>
    <t>201607521</t>
  </si>
  <si>
    <t>During approach, the aircraft struck a black kite (bird).</t>
  </si>
  <si>
    <t>17/05/2016</t>
  </si>
  <si>
    <t>201602679</t>
  </si>
  <si>
    <t>During the landing on run way 34, the aircraft struck a kestrel.</t>
  </si>
  <si>
    <t>16/05/2016</t>
  </si>
  <si>
    <t>201600677</t>
  </si>
  <si>
    <t>Albury Aerodrome, 70Â° T 11Km</t>
  </si>
  <si>
    <t>ATC detected the Piper PA-28 at the same level on a crossing path as the inbound ATR72 and issued a traffic alert to the ATR72. The ATR72 continued the approach and the PA-28 passed behind, with the crew of the PA-28 advising they were unsure of the aircraft's position due to a navigational systems failure.</t>
  </si>
  <si>
    <t>10/05/2016</t>
  </si>
  <si>
    <t>201607500</t>
  </si>
  <si>
    <t>During climb, the aircraft encountered severe turbulence and the crew received a low airspeed master caution.</t>
  </si>
  <si>
    <t>9/05/2016</t>
  </si>
  <si>
    <t>201607499</t>
  </si>
  <si>
    <t>Melbourne Aerodrome, 060Â° T 101Km (near Eildon Weir VOR)</t>
  </si>
  <si>
    <t>While holding, the aircraft was struck by lightning resulting in minor damage.</t>
  </si>
  <si>
    <t>6/05/2016</t>
  </si>
  <si>
    <t>201607477</t>
  </si>
  <si>
    <t>During descent, the crew detected erroneous readings from the radio altimeter, followed by a landing gear master caution and GPWS TERRAIN alert. Engineers cleaned the radio altimeter sensor.</t>
  </si>
  <si>
    <t>28/04/2016</t>
  </si>
  <si>
    <t>201607487</t>
  </si>
  <si>
    <t>ATR - Gie Avions De Transport Regional
-----
Unknown</t>
  </si>
  <si>
    <t>ATR72
-----
Unknown</t>
  </si>
  <si>
    <t>During approach, the crew of the ATR-72 received a TCAS traffic alert on an aircraft operating in the circuit at high speed. The ATR-72 crew reported having difficulty communicating with the second aircraft.</t>
  </si>
  <si>
    <t>25/04/2016</t>
  </si>
  <si>
    <t>201602409</t>
  </si>
  <si>
    <t>11/04/2016</t>
  </si>
  <si>
    <t>201607453</t>
  </si>
  <si>
    <t>4/04/2016</t>
  </si>
  <si>
    <t>201607460</t>
  </si>
  <si>
    <t>Emerald Aerodrome</t>
  </si>
  <si>
    <t>During the take-off run, the aircraft struck a black kite (bird) resulting in minor damage. The crew conducted a return to Emerald.</t>
  </si>
  <si>
    <t>2/04/2016</t>
  </si>
  <si>
    <t>201600466</t>
  </si>
  <si>
    <t>The inbound Boeing 737 descended below its assigned level which resulted in a loss of separation with the opposite direction inbound ATR72. The crews of both aircraft received TCAS RA's and the controller instructed the crew of the 737 to climb to re-establish separation.</t>
  </si>
  <si>
    <t>16/03/2016</t>
  </si>
  <si>
    <t>201601733</t>
  </si>
  <si>
    <t>During final approach, the aircraft struck a sparrow.</t>
  </si>
  <si>
    <t>11/03/2016</t>
  </si>
  <si>
    <t>201607403</t>
  </si>
  <si>
    <t>near Albury Aerodrome</t>
  </si>
  <si>
    <t>During climb, the left air-conditioning pack failed and the aircraft returned to Albury.</t>
  </si>
  <si>
    <t>7/03/2016</t>
  </si>
  <si>
    <t>201601628</t>
  </si>
  <si>
    <t>Sydney Aerodrome, 155Â° M 15Km</t>
  </si>
  <si>
    <t>A330
-----
ATR72</t>
  </si>
  <si>
    <t>During IVA procedures, the ATR72 failed to intercept the centreline for runway 34R resulting in a loss of separation with the Airbus A330 on approach to the parallel runway.</t>
  </si>
  <si>
    <t>201605993</t>
  </si>
  <si>
    <t>Rockhampton Aerodrome, 185.06Â° T 162Km (FORTT)</t>
  </si>
  <si>
    <t>During cruise, the crew detected increased airframe icing and conducted a precautionary descent.</t>
  </si>
  <si>
    <t>6/03/2016</t>
  </si>
  <si>
    <t>201607428</t>
  </si>
  <si>
    <t>During the take-off run and initial climb, the crew detected abnormal torque indications from the left engine. The aircraft returned to Brisbane.</t>
  </si>
  <si>
    <t>4/03/2016</t>
  </si>
  <si>
    <t>201601596</t>
  </si>
  <si>
    <t>During approach, the aircraft struck a flying fox.</t>
  </si>
  <si>
    <t>3/03/2016</t>
  </si>
  <si>
    <t>201601571</t>
  </si>
  <si>
    <t>During landing, the aircraft struck a brown falcon.</t>
  </si>
  <si>
    <t>1/03/2016</t>
  </si>
  <si>
    <t>201601556</t>
  </si>
  <si>
    <t>During descent, procedural separation standards were not established before the Bombardier DHC-8 and the ATR 72 were transferred from a radar control environment to a procedural control environment. This resulted in a loss of separation assurance.</t>
  </si>
  <si>
    <t>29/02/2016</t>
  </si>
  <si>
    <t>201601537</t>
  </si>
  <si>
    <t>26/02/2016</t>
  </si>
  <si>
    <t>201607382</t>
  </si>
  <si>
    <t>25/02/2016</t>
  </si>
  <si>
    <t>201607424</t>
  </si>
  <si>
    <t>Passing 5,000 ft on climb, the crew detected a No. 1 bleed-air system fault.</t>
  </si>
  <si>
    <t>9/02/2016</t>
  </si>
  <si>
    <t>201607372</t>
  </si>
  <si>
    <t>During approach, the aircraft encountered windshear and the crew conducted a missed approach.</t>
  </si>
  <si>
    <t>4/02/2016</t>
  </si>
  <si>
    <t>201607417</t>
  </si>
  <si>
    <t>During initial climb, the No. 1 feeder tank fuel pump failed.</t>
  </si>
  <si>
    <t>3/02/2016</t>
  </si>
  <si>
    <t>201607405</t>
  </si>
  <si>
    <t>During approach, the aircraft encountered a wind gust resulting in a flap overspeed.</t>
  </si>
  <si>
    <t>1/02/2016</t>
  </si>
  <si>
    <t>201607384</t>
  </si>
  <si>
    <t>During cruise, the aircraft encountered moderate turbulence resulting in minor injuries to multiple cabin crew.</t>
  </si>
  <si>
    <t>29/01/2016</t>
  </si>
  <si>
    <t>201607358</t>
  </si>
  <si>
    <t>During cruise, the aircraft encountered moderate turbulence.</t>
  </si>
  <si>
    <t>26/01/2016</t>
  </si>
  <si>
    <t>201607351</t>
  </si>
  <si>
    <t>Sydney Aerodrome, S M 37Km</t>
  </si>
  <si>
    <t>During climb, the right engine bleed air system failed and the aircraft returned to Sydney.</t>
  </si>
  <si>
    <t>25/01/2016</t>
  </si>
  <si>
    <t>201607216</t>
  </si>
  <si>
    <t>During initial climb, the crew detected a No. 2 engine interstage turbine temperature spike and returned the aircraft to Sydney.</t>
  </si>
  <si>
    <t>24/01/2016</t>
  </si>
  <si>
    <t>201607219</t>
  </si>
  <si>
    <t>During climb, the crew received an electronic engine control fault on the No. 1 engine. The crew actioned the non-normal checklist and reset the system and operations returned to normal.</t>
  </si>
  <si>
    <t>201607349</t>
  </si>
  <si>
    <t>Bundaberg Aerodrome, S M 69Km</t>
  </si>
  <si>
    <t>Passing FL 120 on descent, the aircraft encountered sink resulting in two cabin crew members sustaining minor injuries.</t>
  </si>
  <si>
    <t>Minor</t>
  </si>
  <si>
    <t>21/01/2016</t>
  </si>
  <si>
    <t>201607373</t>
  </si>
  <si>
    <t>Passing FL130 on climb, the crew detected an audible air leak in the cabin and returned the aircraft to Brisbane. The engineering inspection revealed a ground air check valve was in the open position due to a failed spring, resulting in the failure of the check valve and failure of the air conditioning duct.</t>
  </si>
  <si>
    <t>18/01/2016</t>
  </si>
  <si>
    <t>201607341</t>
  </si>
  <si>
    <t>During the night visual approach, the aircraft descended below the lowest safe altitude.</t>
  </si>
  <si>
    <t>11/01/2016</t>
  </si>
  <si>
    <t>201607335</t>
  </si>
  <si>
    <t>During landing, the aircraft encountered windshear and momentarily departed the runway centreline.</t>
  </si>
  <si>
    <t>10/01/2016</t>
  </si>
  <si>
    <t>201607333</t>
  </si>
  <si>
    <t>Passing 5,000 ft on climb, the crew detected a fire detector loop fault on the left engine and the aircraft returned to Brisbane.</t>
  </si>
  <si>
    <t>201607332</t>
  </si>
  <si>
    <t>During climb, the aircraft made minor uncommanded rolls when the autopilot was engaged. The engineering inspection did not reveal any faults with the auto-flight control system.</t>
  </si>
  <si>
    <t>6/01/2016</t>
  </si>
  <si>
    <t>201600850</t>
  </si>
  <si>
    <t>5/01/2016</t>
  </si>
  <si>
    <t>201607314</t>
  </si>
  <si>
    <t>During the final approach, the aircraft encountered moderate windshear.</t>
  </si>
  <si>
    <t>4/01/2016</t>
  </si>
  <si>
    <t>201607311</t>
  </si>
  <si>
    <t>During landing, the engine No. 1 power lever could not be lifted above the gate, resulting in a deviation from the runway centreline.</t>
  </si>
  <si>
    <t>2/01/2016</t>
  </si>
  <si>
    <t>201607295</t>
  </si>
  <si>
    <t>During the take-off, the aircraft struck a bird.</t>
  </si>
  <si>
    <t>1/01/2016</t>
  </si>
  <si>
    <t>201600801</t>
  </si>
  <si>
    <t>During the take-off from runway 17, the aircraft struck a galah.</t>
  </si>
  <si>
    <t>27/12/2015</t>
  </si>
  <si>
    <t>201509402</t>
  </si>
  <si>
    <t>During descent, the crew applied an incorrect power setting resulting in the aircraft decelerating below the target speed.</t>
  </si>
  <si>
    <t>201506141</t>
  </si>
  <si>
    <t>During engine start, fumes and abnormal airframe vibrations were detected. The engineering inspection did not reveal the source of the fumes or vibrations.</t>
  </si>
  <si>
    <t>23/12/2015</t>
  </si>
  <si>
    <t>201509398</t>
  </si>
  <si>
    <t>Passing FL 110 on climb, the crew detected a cabin pressurisation fault and conducted a precautionary descent to 10,000 ft.</t>
  </si>
  <si>
    <t>17/12/2015</t>
  </si>
  <si>
    <t>201509391</t>
  </si>
  <si>
    <t>During landing, the aircraft encountered windshear and floated before landing beyond the planned touchdown zone.</t>
  </si>
  <si>
    <t>13/12/2015</t>
  </si>
  <si>
    <t>201509367</t>
  </si>
  <si>
    <t>near Launceston Aerodrome</t>
  </si>
  <si>
    <t>TAS</t>
  </si>
  <si>
    <t>During approach, the crew inadvertently lowered the landing gear prior to the flaps being extended.</t>
  </si>
  <si>
    <t>8/12/2015</t>
  </si>
  <si>
    <t>201509343</t>
  </si>
  <si>
    <t>201509355</t>
  </si>
  <si>
    <t>During approach, the aircraft encountered turbulence and the crew conducted a missed approach.</t>
  </si>
  <si>
    <t>2/12/2015</t>
  </si>
  <si>
    <t>201509339</t>
  </si>
  <si>
    <t>During climb, the autopilot failed to capture the programmed outbound track and the aircraft diverted off track without a clearance. The crew conducted troubleshooting and operations returned to normal.</t>
  </si>
  <si>
    <t>26/11/2015</t>
  </si>
  <si>
    <t>201508204</t>
  </si>
  <si>
    <t>During descent, the aircraft encountered severe turbulence.</t>
  </si>
  <si>
    <t>20/11/2015</t>
  </si>
  <si>
    <t>201505366</t>
  </si>
  <si>
    <t>During the landing on runway 35 in gusty conditions, the aircraft's tail struck the ground resulting in minor damage.</t>
  </si>
  <si>
    <t>18/11/2015</t>
  </si>
  <si>
    <t>201505354</t>
  </si>
  <si>
    <t>During cruise, the crew received an electrical system warning. The engineering inspection did not reveal any electrical system faults.</t>
  </si>
  <si>
    <t>16/11/2015</t>
  </si>
  <si>
    <t>201505281</t>
  </si>
  <si>
    <t>near Gladstone Aerodrome (SUDMA (IFR))</t>
  </si>
  <si>
    <t>During the cruise at FL150, the crew received a GPWS TERRAIN TERRAIN alert and subsequently detected multiple autopilot warnings. The engineering report did not reveal any faults with the GPWS or autopilot systems.</t>
  </si>
  <si>
    <t>201505343</t>
  </si>
  <si>
    <t>During preparation for departure, the aircraft was struck by high winds resulting in the aircraft wing tip striking the ground. The aircraft sustained substantial damage.</t>
  </si>
  <si>
    <t>12/11/2015</t>
  </si>
  <si>
    <t>201507996</t>
  </si>
  <si>
    <t>During the approach to runway 19, the flight director failed.</t>
  </si>
  <si>
    <t>201507995</t>
  </si>
  <si>
    <t>During final approach to runway 25, the aircraft encountered undershoot windshear and the crew conducted a missed approach.</t>
  </si>
  <si>
    <t>2/11/2015</t>
  </si>
  <si>
    <t>201507871</t>
  </si>
  <si>
    <t>During the landing on runway 34L, the aircraft struck a bird.</t>
  </si>
  <si>
    <t>30/10/2015</t>
  </si>
  <si>
    <t>201504859</t>
  </si>
  <si>
    <t>During climb, the cabin crew detected a hissing noise coming from the right forward door. and the aircraft was returned to Sydney. The engineering inspection did not reveal any faults with the door or pressurisation systems.</t>
  </si>
  <si>
    <t>25/10/2015</t>
  </si>
  <si>
    <t>201504674</t>
  </si>
  <si>
    <t>near Melbourne Aerodrome</t>
  </si>
  <si>
    <t>During cruise the anti-icing system failed and the aircraft was descended clear of icing conditions. The aircraft encountered turbulence while at the lower altitude. The engineering inspection revealed the right propeller heater had failed.</t>
  </si>
  <si>
    <t>22/10/2015</t>
  </si>
  <si>
    <t>201507731</t>
  </si>
  <si>
    <t>During the approach to runway 21, the crew of the ATR72 observed an aircraft enter the runway and conducted a missed approach. The crew subsequently received a TCAS TA.</t>
  </si>
  <si>
    <t>20/10/2015</t>
  </si>
  <si>
    <t>201507696</t>
  </si>
  <si>
    <t>During climb, the crew detected a bleed air system fault and the aircraft returned to Sydney.</t>
  </si>
  <si>
    <t>16/10/2015</t>
  </si>
  <si>
    <t>201506927</t>
  </si>
  <si>
    <t>During final approach, the aircraft encountered turbulence and windshear and the crew conducted a missed approach.</t>
  </si>
  <si>
    <t>5/10/2015</t>
  </si>
  <si>
    <t>201504457</t>
  </si>
  <si>
    <t>During climb, the crew received multiple engine warnings and the aircraft was returned to Sydney. The engineering inspection revealed the No. 1 engine bleed was leaking.</t>
  </si>
  <si>
    <t>30/09/2015</t>
  </si>
  <si>
    <t>201507434</t>
  </si>
  <si>
    <t>During the climb, the aircraft struck several birds.</t>
  </si>
  <si>
    <t>201507420</t>
  </si>
  <si>
    <t>Oakey Aerodrome, 345° M 74Km</t>
  </si>
  <si>
    <t>The Bombardier DHC-8 descended below its assigned level resulting in a loss of separation assurance with the ATR72 on a converging track.</t>
  </si>
  <si>
    <t>31/08/2015</t>
  </si>
  <si>
    <t>201503906</t>
  </si>
  <si>
    <t>Passing FL 180 on climb, the crew received a spurious GPWS alert.</t>
  </si>
  <si>
    <t>201507046</t>
  </si>
  <si>
    <t>The aircraft crossed the runway holding point without a clearance.</t>
  </si>
  <si>
    <t>30/08/2015</t>
  </si>
  <si>
    <t>201507045</t>
  </si>
  <si>
    <t>During final approach, the aircraft encountered windshear and the crew received a GPWS GLIDESLOPE alert.</t>
  </si>
  <si>
    <t>16/08/2015</t>
  </si>
  <si>
    <t>201506735</t>
  </si>
  <si>
    <t>Ballina/Byron Gateway Aerodrome</t>
  </si>
  <si>
    <t>During landing, the aircraft struck a white-faced heron.</t>
  </si>
  <si>
    <t>12/08/2015</t>
  </si>
  <si>
    <t>201506677</t>
  </si>
  <si>
    <t>Passing FL 192 on climb, stick shaker activated and the crew conducted a precautionary descent.</t>
  </si>
  <si>
    <t>201506680</t>
  </si>
  <si>
    <t>During cruise, the aircraft encountered turbulence and a cabin crew member sustained a minor injury.</t>
  </si>
  <si>
    <t>201506685</t>
  </si>
  <si>
    <t>Passing 1,100 ft on climb, the aircraft encountered windshear and the crew received a GPWS DON'T SINK warning.</t>
  </si>
  <si>
    <t>4/08/2015</t>
  </si>
  <si>
    <t>201506503</t>
  </si>
  <si>
    <t>During landing roll, the aircraft struck a Kookaburra.</t>
  </si>
  <si>
    <t>30/07/2015</t>
  </si>
  <si>
    <t>201506385</t>
  </si>
  <si>
    <t>29/07/2015</t>
  </si>
  <si>
    <t>201506375</t>
  </si>
  <si>
    <t>During the approach, the aircraft struck a flying fox.</t>
  </si>
  <si>
    <t>27/07/2015</t>
  </si>
  <si>
    <t>201506336</t>
  </si>
  <si>
    <t>During take-off, the aircraft struck a Galah.</t>
  </si>
  <si>
    <t>18/07/2015</t>
  </si>
  <si>
    <t>201503231</t>
  </si>
  <si>
    <t>Passing 600 ft on approach, the crew received an unsafe gear indication and conducted a missed approach. The engineering inspection did not reveal any faults with the landing gear.</t>
  </si>
  <si>
    <t>201503232</t>
  </si>
  <si>
    <t>During descent, numerous electrical systems failed momentarily and the crew received multiple system warnings . The engineering inspection did not reveal any faults with the electrical system.</t>
  </si>
  <si>
    <t>201506094</t>
  </si>
  <si>
    <t>During taxi, fumes were detected in the cabin and the crew returned to the bay. Engineers revealed the source to be residual chemicals from a compressor wash.</t>
  </si>
  <si>
    <t>16/07/2015</t>
  </si>
  <si>
    <t>201506069</t>
  </si>
  <si>
    <t>Passing 7,800 ft on climb, the radar altimeter malfunctioned and the crew received a spurious GPWS TERRAIN TERRAIN warning. The autopilot also changed mode without crew input. The crew re-set the autopilot and operations returned to normal.</t>
  </si>
  <si>
    <t>23/06/2015</t>
  </si>
  <si>
    <t>201502810</t>
  </si>
  <si>
    <t>Prior to departure, fumes detected from the refuelling panel and in the cabin. Engineers could not locate the source of the fumes. During the subsequent taxi for departure the fumes returned and the aircraft was returned to the bay. Engineers replaced the wing box door and flange assembly seals.</t>
  </si>
  <si>
    <t>19/06/2015</t>
  </si>
  <si>
    <t>201502695</t>
  </si>
  <si>
    <t>During the cruise, the crew detected fumes in the cabin and the aircraft returned to Brisbane. The engineers replaced the right ceiling light strip.</t>
  </si>
  <si>
    <t>18/06/2015</t>
  </si>
  <si>
    <t>201502689</t>
  </si>
  <si>
    <t>During the climb, the crew received several momentary avionics warnings. Engineers suspected a transient software fault was the cause.</t>
  </si>
  <si>
    <t>16/06/2015</t>
  </si>
  <si>
    <t>201504361</t>
  </si>
  <si>
    <t>During cruise, the crew detected an electrical system fault indication and the aircraft returned to Brisbane. The engineers replaced the emergency battery.</t>
  </si>
  <si>
    <t>12/06/2015</t>
  </si>
  <si>
    <t>201504771</t>
  </si>
  <si>
    <t>8/06/2015</t>
  </si>
  <si>
    <t>201502481</t>
  </si>
  <si>
    <t>During the descent, the crew detected a fault with the rudder trim system. Engineers replaced the rudder trim actuator.</t>
  </si>
  <si>
    <t>201504756</t>
  </si>
  <si>
    <t>3/06/2015</t>
  </si>
  <si>
    <t>201504667</t>
  </si>
  <si>
    <t>27/05/2015</t>
  </si>
  <si>
    <t>201502662</t>
  </si>
  <si>
    <t>During the take-off, the aircraft struck a magpie-lark.</t>
  </si>
  <si>
    <t>21/05/2015</t>
  </si>
  <si>
    <t>201504637</t>
  </si>
  <si>
    <t>During flight, the crew detected abnormal No. 2 engine torque indications and returned to Sydney. Engineers re-secured the engine power management selector switch.</t>
  </si>
  <si>
    <t>19/05/2015</t>
  </si>
  <si>
    <t>201504439</t>
  </si>
  <si>
    <t>During the visual approach, the crew received a momentary EGPWS GLIDESLOPE alert.</t>
  </si>
  <si>
    <t>18/05/2015</t>
  </si>
  <si>
    <t>201504429</t>
  </si>
  <si>
    <t>During the take-off run, the aircraft struck a bird and the crew rejected the take-off.</t>
  </si>
  <si>
    <t>13/05/2015</t>
  </si>
  <si>
    <t>201502026</t>
  </si>
  <si>
    <t>Passing 6,400 feet on climb, the radar altimeter gave an erroneous return and the crew received a TERRAIN TERRAIN E/GPWS alert. The engineering inspection revealed a faulty radar altimeter antenna.</t>
  </si>
  <si>
    <t>7/05/2015</t>
  </si>
  <si>
    <t>201501967</t>
  </si>
  <si>
    <t>Passing 6,300 ft on climb, the crew received a EGPWS TERRAIN TERRAIN alert and the radio altimeter malfunctioned. Engineers cleaned the radio altimeter antenna.</t>
  </si>
  <si>
    <t>4/05/2015</t>
  </si>
  <si>
    <t>201504050</t>
  </si>
  <si>
    <t>Bundaberg Aerodrome</t>
  </si>
  <si>
    <t>During takeoff, the aircraft struck a bird.</t>
  </si>
  <si>
    <t>1/05/2015</t>
  </si>
  <si>
    <t>201503937</t>
  </si>
  <si>
    <t>During the approach, the aircraft encountered moderate turbulence and the autopilot disconnected. The aircraft subsequently deviated from the approach path and the crew received a momentary EGPWS GLIDESLOPE alert.</t>
  </si>
  <si>
    <t>26/04/2015</t>
  </si>
  <si>
    <t>201503765</t>
  </si>
  <si>
    <t>11/04/2015</t>
  </si>
  <si>
    <t>201503142</t>
  </si>
  <si>
    <t>Townsville Aerodrome</t>
  </si>
  <si>
    <t>During landing, the aircraft deviated right of the centreline of the runway. The Captain immediately took over and applied heavy braking to regain control and the centreline.</t>
  </si>
  <si>
    <t>10/04/2015</t>
  </si>
  <si>
    <t>201503132</t>
  </si>
  <si>
    <t>During the landing on runway 19, the aircraft struck a bird.</t>
  </si>
  <si>
    <t>9/04/2015</t>
  </si>
  <si>
    <t>201503074</t>
  </si>
  <si>
    <t>8/04/2015</t>
  </si>
  <si>
    <t>201503057</t>
  </si>
  <si>
    <t>Climbing through 300 ft in gusty conditions, the crew received a GPWS BANK ANGLE warning.</t>
  </si>
  <si>
    <t>7/04/2015</t>
  </si>
  <si>
    <t>201503000</t>
  </si>
  <si>
    <t>During the engine start, smoke was detected emanating from an engine. The situation was resolved a short time later and operations returned to normal.</t>
  </si>
  <si>
    <t>6/04/2015</t>
  </si>
  <si>
    <t>201501318</t>
  </si>
  <si>
    <t>Williamtown Aerodrome, 26° T 46Km</t>
  </si>
  <si>
    <t>During cruise, the crew encountered severe icing and conducted an emergency descent.</t>
  </si>
  <si>
    <t>201502980</t>
  </si>
  <si>
    <t>During take-off, the crew detected a Digital Air Data Computer (DADC) fault and subsequently the crew detected an airspeed discrepancy. The aircraft returned to Brisbane. The engineering inspection revealed a wasp in a pitot tube.</t>
  </si>
  <si>
    <t>3/04/2015</t>
  </si>
  <si>
    <t>201502883</t>
  </si>
  <si>
    <t>During the landing roll, the aircraft struck a bird.</t>
  </si>
  <si>
    <t>1/04/2015</t>
  </si>
  <si>
    <t>201502831</t>
  </si>
  <si>
    <t>The arriving Boeing 737 crossed the threshold prior to the GIE Avions ATR-72 becoming airborne resulting in a loss of runway separation.</t>
  </si>
  <si>
    <t>31/03/2015</t>
  </si>
  <si>
    <t>201502822</t>
  </si>
  <si>
    <t>Gladstone Aerodrome, S M 272Km</t>
  </si>
  <si>
    <t>During the cruise, the crew received a spurious GPWS TERRAIN warning.</t>
  </si>
  <si>
    <t>30/03/2015</t>
  </si>
  <si>
    <t>201502779</t>
  </si>
  <si>
    <t>Gayndah Aerodrome, NW M 22Km</t>
  </si>
  <si>
    <t>During cruise, the crew received a spurious GPWS TERRAIN warning.</t>
  </si>
  <si>
    <t>22/03/2015</t>
  </si>
  <si>
    <t>201502452</t>
  </si>
  <si>
    <t>abeam Gayndah Aerodrome</t>
  </si>
  <si>
    <t>During cruise at FL170, the crew received a spurious GPWS TERRAIN warning accompanied by several navigation system errors. The crew reselected the appropriate modes and operations returned to normal.</t>
  </si>
  <si>
    <t>14/03/2015</t>
  </si>
  <si>
    <t>201502217</t>
  </si>
  <si>
    <t>During landing, the aircraft encountered windshear and the crew conducted a missed approach.</t>
  </si>
  <si>
    <t>201502207</t>
  </si>
  <si>
    <t>Port Macquarie Aerodrome, S M 13Km</t>
  </si>
  <si>
    <t>After broadcasting their intensions on the CTAF and entering the circuit, the crew of the ATR-72 heard a radio call from a parachuting aircraft advising that parachutists had departed the aircraft for landing on the eastern side of the aerodrome. The ATR-72 crew discontinued the approach and departed the circuit until the parachutists were on the ground.</t>
  </si>
  <si>
    <t>11/03/2015</t>
  </si>
  <si>
    <t>201502080</t>
  </si>
  <si>
    <t>During the approach to runway 35, the aircraft encountered windshear and the crew received a GPWS GLIDESLOPE warning.</t>
  </si>
  <si>
    <t>9/03/2015</t>
  </si>
  <si>
    <t>201502011</t>
  </si>
  <si>
    <t>The Boeing 737 was cleared for takeoff on runway 01 while the ATR72 on approach to runway 14. The 737 had not passed the extended centreline of runway 14 before the ATR72 landed resulting in a loss of separation assurance.</t>
  </si>
  <si>
    <t>5/03/2015</t>
  </si>
  <si>
    <t>201500736</t>
  </si>
  <si>
    <t>During two attempted take-offs, the AHRS failed and both take-offs were rejected. The engineering inspection did not reveal any faults with the AHRS.</t>
  </si>
  <si>
    <t>23/02/2015</t>
  </si>
  <si>
    <t>201501563</t>
  </si>
  <si>
    <t>During the landing on runway 06, the aircraft struck a galah.</t>
  </si>
  <si>
    <t>19/02/2015</t>
  </si>
  <si>
    <t>201501472</t>
  </si>
  <si>
    <t>During the initial climb off runway 34, the aircraft struck a bird.</t>
  </si>
  <si>
    <t>201501464</t>
  </si>
  <si>
    <t>During the landing roll on runway 15, the aircraft struck a magpie.</t>
  </si>
  <si>
    <t>201501463</t>
  </si>
  <si>
    <t>near Brisbane Aerodrome (Maleny)</t>
  </si>
  <si>
    <t>During the cruise at FL170, the crew received a spurious GPWS TERRAIN warning.</t>
  </si>
  <si>
    <t>17/02/2015</t>
  </si>
  <si>
    <t>201501418</t>
  </si>
  <si>
    <t>During the descent, turbulence was encountered resulting in a minor injury to a cabin crew member.</t>
  </si>
  <si>
    <t>2/02/2015</t>
  </si>
  <si>
    <t>201500987</t>
  </si>
  <si>
    <t>During climb, the crew received a GPWS DON'T SINK alert.</t>
  </si>
  <si>
    <t>1/02/2015</t>
  </si>
  <si>
    <t>201500960</t>
  </si>
  <si>
    <t>During landing, the aircraft encountered windshear and bounced. The crew conducted a missed approach.</t>
  </si>
  <si>
    <t>25/01/2015</t>
  </si>
  <si>
    <t>201500788</t>
  </si>
  <si>
    <t>During the taxi, the crew crossed the holding point on runway 35 without a clearance.</t>
  </si>
  <si>
    <t>24/01/2015</t>
  </si>
  <si>
    <t>201500783</t>
  </si>
  <si>
    <t>21/01/2015</t>
  </si>
  <si>
    <t>201500705</t>
  </si>
  <si>
    <t>19/01/2015</t>
  </si>
  <si>
    <t>201500634</t>
  </si>
  <si>
    <t>201500619</t>
  </si>
  <si>
    <t>During the refuelling, the refueller observed fuel running down the right hand side of the aircraft fuselage resulting in the passengers being disembarked as a precautionary measure. The engineers replaced the No. 2 electric fuel pump.</t>
  </si>
  <si>
    <t>16/01/2015</t>
  </si>
  <si>
    <t>201500076</t>
  </si>
  <si>
    <t>During the landing roll, the crew detected the loss of steering control and braking. The engineering inspection revealed that a power disruption had occurred to the multi-function computer.</t>
  </si>
  <si>
    <t>201500068</t>
  </si>
  <si>
    <t>During cruise, the crew detected a rapid decrease in the indicated fuel quantity for the right fuel tank and diverted to Canberra. While diverting the right fuel tank quantity returned to normal. The engineering inspection did not reveal any faults with the fuel system.</t>
  </si>
  <si>
    <t>13/01/2015</t>
  </si>
  <si>
    <t>201500472</t>
  </si>
  <si>
    <t>During descent, the aircraft struck a bird.</t>
  </si>
  <si>
    <t>7/01/2015</t>
  </si>
  <si>
    <t>201500319</t>
  </si>
  <si>
    <t>During the landing, the crew encountered windshear resulting in a bounced landing and missed approach.</t>
  </si>
  <si>
    <t>5/01/2015</t>
  </si>
  <si>
    <t>201500286</t>
  </si>
  <si>
    <t>During the approach, the aircraft encountered moderate turbulence and windshear.</t>
  </si>
  <si>
    <t>2/01/2015</t>
  </si>
  <si>
    <t>201500194</t>
  </si>
  <si>
    <t>During the approach to runway 33, the aircraft struck a pelican.</t>
  </si>
  <si>
    <t>31/12/2014</t>
  </si>
  <si>
    <t>201410028</t>
  </si>
  <si>
    <t>Rockhampton Aerodrome, 166° T 39Km</t>
  </si>
  <si>
    <t>During cruise, the autopilot disconnected uncommanded. Engineers detected a faulty autopilot roll servo actuator.</t>
  </si>
  <si>
    <t>30/12/2014</t>
  </si>
  <si>
    <t>201410874</t>
  </si>
  <si>
    <t>Brisbane Aerodrome, 260° T 19Km</t>
  </si>
  <si>
    <t>An aircraft on approach sighted a remotely piloted aircraft (RPA) operating within controlled airspace without a clearance. The operator of the RPA could not be identified.</t>
  </si>
  <si>
    <t>19/12/2014</t>
  </si>
  <si>
    <t>201410595</t>
  </si>
  <si>
    <t>Brisbane Aerodrome, 325° T 111Km</t>
  </si>
  <si>
    <t>The controller cleared the Bombardier DHC-8 to descend through the level of the Avions ATR72 resulting in a loss of separation assurance.</t>
  </si>
  <si>
    <t>201409899</t>
  </si>
  <si>
    <t>During cruise at FL130, the navigation and engine monitoring displays went blank followed by a GPWS TERRAIN warning. The engineering inspection did not reveal any faults with the displays..</t>
  </si>
  <si>
    <t>16/12/2014</t>
  </si>
  <si>
    <t>201410539</t>
  </si>
  <si>
    <t>15/12/2014</t>
  </si>
  <si>
    <t>201410497</t>
  </si>
  <si>
    <t>During take-off, the aircraft struck a galah.</t>
  </si>
  <si>
    <t>8/12/2014</t>
  </si>
  <si>
    <t>201409503</t>
  </si>
  <si>
    <t>Gladstone Aerodrome, 100° M 9Km</t>
  </si>
  <si>
    <t>During the climb, the crew detected abnormal oil pressure indications on the left engine. The crew shut the engine down and the aircraft returned to Gladstone. The engineering inspection revealed a worn AC generator drive shaft.</t>
  </si>
  <si>
    <t>201410366</t>
  </si>
  <si>
    <t>Brisbane Aerodrome, 190° M 9Km</t>
  </si>
  <si>
    <t>During approach, the aircraft was struck by lightning.</t>
  </si>
  <si>
    <t>201409547</t>
  </si>
  <si>
    <t>Sydney Aerodrome, 350° M 7Km</t>
  </si>
  <si>
    <t>Passing 2,000 ft on climb, the crew sighted and subseqeuntly passed a Remotely Piloted Aircraft operating at a similar altitude.</t>
  </si>
  <si>
    <t>4/12/2014</t>
  </si>
  <si>
    <t>201410299</t>
  </si>
  <si>
    <t>Sydney Aerodrome, 254° T 100Km (near Bindook (NDB/VOR))</t>
  </si>
  <si>
    <t>A380
-----
ATR72</t>
  </si>
  <si>
    <t>During holding, the ATR-72 encountered an updraft and climbed above its assigned level which resulted in a loss of separation with the Airbus A380 operating above.</t>
  </si>
  <si>
    <t>30/11/2014</t>
  </si>
  <si>
    <t>201410199</t>
  </si>
  <si>
    <t>During IVA procedures, the Airbus A320 passed through the extended centreline resulting in the crew receiving a TCAS RA on the ATR-72 on approach to the parallel runway.</t>
  </si>
  <si>
    <t>25/11/2014</t>
  </si>
  <si>
    <t>201409170</t>
  </si>
  <si>
    <t>near Emerald Aerodrome</t>
  </si>
  <si>
    <t>During the initial climb, the crew detected fluctuating right engine oil pressure indications and returned to Emerald. Engineers serviced the right engine oil quantity and no faults with the engine were detected.</t>
  </si>
  <si>
    <t>24/11/2014</t>
  </si>
  <si>
    <t>201410053</t>
  </si>
  <si>
    <t>During the landing roll on runway 01, the aircraft struck a cattle egret (bird).</t>
  </si>
  <si>
    <t>19/11/2014</t>
  </si>
  <si>
    <t>201409876</t>
  </si>
  <si>
    <t>During a missed approach, the crew inadvertantly left the landing gear extended resulting in an airframe overspeed.</t>
  </si>
  <si>
    <t>9/11/2014</t>
  </si>
  <si>
    <t>201409667</t>
  </si>
  <si>
    <t>During climb, the aircraft struck a bird.</t>
  </si>
  <si>
    <t>5/11/2014</t>
  </si>
  <si>
    <t>201409612</t>
  </si>
  <si>
    <t>29/10/2014</t>
  </si>
  <si>
    <t>201409434</t>
  </si>
  <si>
    <t>During the initial climb, the aircraft entered a heavy rain shower and the crew received a GPWS DON'T SINK alert.</t>
  </si>
  <si>
    <t>21/10/2014</t>
  </si>
  <si>
    <t>201409230</t>
  </si>
  <si>
    <t>During the takeoff on runway 14, the aircraft struck a magpie lark. The aircraft returned to Brisbane.</t>
  </si>
  <si>
    <t>16/10/2014</t>
  </si>
  <si>
    <t>201409106</t>
  </si>
  <si>
    <t>The crew of the ATR72 responded to a takeoff clearance issued to the Bombardier DHC-8 and commenced takeoff. The crew of the DHC-8 challenged the controller, however the controller reiterated the takeoff clearance for the DHC-8. The controller subsequently cleared the ATR72 to takeoff.</t>
  </si>
  <si>
    <t>15/10/2014</t>
  </si>
  <si>
    <t>201409070</t>
  </si>
  <si>
    <t>During a post-flight inspection, the crew detected evidence of a birdstrike. It could not be determined when the strike occurred.</t>
  </si>
  <si>
    <t>14/10/2014</t>
  </si>
  <si>
    <t>201409052</t>
  </si>
  <si>
    <t>During descent, the aircraft encountered turbulence and crew received a momentary engine oil master warning.</t>
  </si>
  <si>
    <t>12/10/2014</t>
  </si>
  <si>
    <t>201409004</t>
  </si>
  <si>
    <t>During final approach, the aircraft encountered a wind gust and the crew conducted a missed approach.</t>
  </si>
  <si>
    <t>9/10/2014</t>
  </si>
  <si>
    <t>201408901</t>
  </si>
  <si>
    <t>During the landing roll on runway 06, the aircraft struck a hawk.</t>
  </si>
  <si>
    <t>26/09/2014</t>
  </si>
  <si>
    <t>201407299</t>
  </si>
  <si>
    <t>abeam Hervey Bay Aerodrome</t>
  </si>
  <si>
    <t>During cruise at FL 210, the crew received a spurious GPWS TERRAIN TERRAIN alert.</t>
  </si>
  <si>
    <t>14/09/2014</t>
  </si>
  <si>
    <t>201408273</t>
  </si>
  <si>
    <t>During the landing on runway 14, the aircraft struck a fairy martin.</t>
  </si>
  <si>
    <t>13/09/2014</t>
  </si>
  <si>
    <t>201408259</t>
  </si>
  <si>
    <t>abeam Taroom Aerodrome</t>
  </si>
  <si>
    <t>During cruise at FL210, the crew received a GPWS TERRAIN warning and detected the No.1 electonic horizontal situation indicator changed modes uncommanded.</t>
  </si>
  <si>
    <t>4/09/2014</t>
  </si>
  <si>
    <t>201406644</t>
  </si>
  <si>
    <t>Passing 100 ft on approach to runway 19, the aircraft encountered windshear and the crew conducted a missed approach.</t>
  </si>
  <si>
    <t>28/08/2014</t>
  </si>
  <si>
    <t>201407786</t>
  </si>
  <si>
    <t>The ATR72 crossed the threshold of runway 19 before the departing Boeing 737 became airborne resulting in a loss of separation.</t>
  </si>
  <si>
    <t>201407811</t>
  </si>
  <si>
    <t>Passing FL140 on climb, the crew received emergency battery system warning. During the system reset, the crew received a spurious GPWS terrain warning.</t>
  </si>
  <si>
    <t>21/08/2014</t>
  </si>
  <si>
    <t>201406345</t>
  </si>
  <si>
    <t>Passing 9,000 ft on climb, the crew received an avionics system warning and a spurious GPWS TERRAIN AHEAD PULL UP alert.</t>
  </si>
  <si>
    <t>18/08/2014</t>
  </si>
  <si>
    <t>201407545</t>
  </si>
  <si>
    <t>Passing 250 ft on approach to runway 19, the aircraft encountered windshear and the crew conducted a missed approach.</t>
  </si>
  <si>
    <t>201406180</t>
  </si>
  <si>
    <t>During the take-off, the aircraft struck a hawk.</t>
  </si>
  <si>
    <t>201407542</t>
  </si>
  <si>
    <t>During the approach to runway 16L, the aircraft encountered windshear and the crew conducted a missed approach. During the subsequent approach, windshear was again encountered resulting in a flap overspeed.</t>
  </si>
  <si>
    <t>201407537</t>
  </si>
  <si>
    <t>During approach, the aircraft encountered windshear and crew received a GPWS GLIDESLOPE warning.</t>
  </si>
  <si>
    <t>14/08/2014</t>
  </si>
  <si>
    <t>201407454</t>
  </si>
  <si>
    <t>During the take-off run, the aircraft struck a flying fox.</t>
  </si>
  <si>
    <t>12/08/2014</t>
  </si>
  <si>
    <t>201405992</t>
  </si>
  <si>
    <t>After landing, the pilot flying inadvertently shut down the right engine before the GPU was connected. The pilot immediately moved the condition lever back to feather and the captain subsequently moved it back to fuel shut off. The ground handler subsequently observed smoke emanating from the right engine.</t>
  </si>
  <si>
    <t>31/07/2014</t>
  </si>
  <si>
    <t>201407020</t>
  </si>
  <si>
    <t>Rockhampton Aerodrome, SÂ° M 11Km</t>
  </si>
  <si>
    <t>Passing 900 ft on approach to runway 33, the aircraft struck a bat.</t>
  </si>
  <si>
    <t>30/07/2014</t>
  </si>
  <si>
    <t>201407009</t>
  </si>
  <si>
    <t>During the landing on runway 25, the aircraft struck a duck.</t>
  </si>
  <si>
    <t>23/07/2014</t>
  </si>
  <si>
    <t>201406859</t>
  </si>
  <si>
    <t>Passing FL130 on climb, the radio altimeter cycled resulting in a spurious GPWS warning.</t>
  </si>
  <si>
    <t>18/07/2014</t>
  </si>
  <si>
    <t>201406734</t>
  </si>
  <si>
    <t>15/07/2014</t>
  </si>
  <si>
    <t>201406658</t>
  </si>
  <si>
    <t>The controller did not detect an incorrect readback resulting in the aircraft taxiing contrary to the taxi instruction.</t>
  </si>
  <si>
    <t>12/07/2014</t>
  </si>
  <si>
    <t>201411066</t>
  </si>
  <si>
    <t>near Bundaberg Aerodrome</t>
  </si>
  <si>
    <t>During the approach to runway 32, the crew of the Avions ATR-72 was in communication with an aircraft and self separating. While established on a 5NM final, the crew of the ATR-72 observed the aircraft in a position different to what was reported.</t>
  </si>
  <si>
    <t>201406616</t>
  </si>
  <si>
    <t>CTAF
-----
OCTA</t>
  </si>
  <si>
    <t>While lined up on the runway prior to take-off, the crew of the ATR72 were advised by another aircraft in the circuit that there was an aircraft of short final. The crew of the ATR72 held position and subseqeuntly observed an aircraft pass to their right and conduct a low level missed approach. No radio calls were heard on the CTAF from the aircraft conducting the missed approach.</t>
  </si>
  <si>
    <t>11/07/2014</t>
  </si>
  <si>
    <t>201406578</t>
  </si>
  <si>
    <t>During boarding and cruise, fumes were detected in the cabin. Engineers suspect recent fumigation of the aircraft as the source of the fumes.</t>
  </si>
  <si>
    <t>10/07/2014</t>
  </si>
  <si>
    <t>201406502</t>
  </si>
  <si>
    <t>Passing 50 ft on approach, the aircraft encountered windshear and the crew conducted a missed approach.</t>
  </si>
  <si>
    <t>1/07/2014</t>
  </si>
  <si>
    <t>201406236</t>
  </si>
  <si>
    <t>Passing 500 ft on approach to runway 34R, the aircraft encountered wake turbulence from an aircraft on final to runway 34L which resulted in an excessive angle of bank roll. The crew disconnected the autopilot and conducted a missed approach.</t>
  </si>
  <si>
    <t>29/06/2014</t>
  </si>
  <si>
    <t>201406195</t>
  </si>
  <si>
    <t>Passing 800 ft on approach to runway 28, the aircraft encountered windshear.</t>
  </si>
  <si>
    <t>201406169</t>
  </si>
  <si>
    <t>During the landing on runway 35, the aircraft struck two ducks.</t>
  </si>
  <si>
    <t>15/06/2014</t>
  </si>
  <si>
    <t>201405773</t>
  </si>
  <si>
    <t>The Boeing 737 crossed the runway threshold before the preceding ATR72 became airborne resulting in a loss of runway separation.</t>
  </si>
  <si>
    <t>10/06/2014</t>
  </si>
  <si>
    <t>201405653</t>
  </si>
  <si>
    <t>During the cruise at FL160, the radio altimeter malfunctioned and the crew received a GPWS TERRAIN TERRAIN alert.</t>
  </si>
  <si>
    <t>1/06/2014</t>
  </si>
  <si>
    <t>201405309</t>
  </si>
  <si>
    <t>Sunshine Coast Aerodrome, 350° M 9Km</t>
  </si>
  <si>
    <t>The controller did not adequately plan the separation between the overflying ATR-72 and Cessna 172 conducting parchute operations resulting in a loss of separation assurrance.</t>
  </si>
  <si>
    <t>27/05/2014</t>
  </si>
  <si>
    <t>201403650</t>
  </si>
  <si>
    <t>During the landing on runway 34R, the aircraft struck a welcome swallow.</t>
  </si>
  <si>
    <t>24/05/2014</t>
  </si>
  <si>
    <t>201405105</t>
  </si>
  <si>
    <t>During the landing, the aircraft struck a bird.</t>
  </si>
  <si>
    <t>18/05/2014</t>
  </si>
  <si>
    <t>201404934</t>
  </si>
  <si>
    <t>Passing 200 ft on approach to runway 14, the aircraft struck multiple bats resulting in minor damage to the pitot tube.</t>
  </si>
  <si>
    <t>14/05/2014</t>
  </si>
  <si>
    <t>201404843</t>
  </si>
  <si>
    <t>Brisbane Aerodrome, 290° M 11Km</t>
  </si>
  <si>
    <t>Passing 4,000 ft on climb, the crew received a spurious EGPWS TERRAIN warning. The engineering inspection did not reveal any faults with EGPWS.</t>
  </si>
  <si>
    <t>13/05/2014</t>
  </si>
  <si>
    <t>201404813</t>
  </si>
  <si>
    <t>During the take-off run on runway 35, the aircraft struck a magpie.</t>
  </si>
  <si>
    <t>6/05/2014</t>
  </si>
  <si>
    <t>201404566</t>
  </si>
  <si>
    <t>While conducting a missed approach, the aircraft climbed above its assigned level.</t>
  </si>
  <si>
    <t>201404539</t>
  </si>
  <si>
    <t>Passing 150 feet on approach to runway 35, the aircraft struck a grey headed flying fox.</t>
  </si>
  <si>
    <t>2/05/2014</t>
  </si>
  <si>
    <t>201404428</t>
  </si>
  <si>
    <t>Sydney Aerodrome, 338° M 15Km</t>
  </si>
  <si>
    <t>During IVA procedures, the crew of the Boeing 737 received a TCAS RA on the ATR-72 on approach to the parallel runway.</t>
  </si>
  <si>
    <t>24/04/2014</t>
  </si>
  <si>
    <t>201404115</t>
  </si>
  <si>
    <t>The ground power unit connected to the aircraft caught fire and was immediately extinguished by ground crew. There was no damage to the aircraft.</t>
  </si>
  <si>
    <t>18/04/2014</t>
  </si>
  <si>
    <t>201403915</t>
  </si>
  <si>
    <t>17/04/2014</t>
  </si>
  <si>
    <t>201402563</t>
  </si>
  <si>
    <t>On 17 April 2014 at about 1705 Eastern Standard Time, the crew of a Bombardier DHC-8, registered VH-QOP, were taxiing at Gladstone Airport, Queensland, for a scheduled passenger service to Sydney, New South Wales. There were heavy showers in the vicinity of the airport at the time.
The crew reported taxiing for runway 10, which was soon followed by a report from the crew of an ATR-72 that they were 5 NM from Gladstone, on final approach to runway 10. Noting the position of the ATR-72, the crew of VH-QOP elected to taxi in a westerly direction along taxiway A (parallel to the runway), planning to enter the runway via taxiway A1 after the ATR-72 had landed. The crew were not particularly familiar with Gladstone Airport, and even less familiar with taxiway A and A1. The crew commented that, subject to traffic conditions, it was more common to enter the runway using other taxiways leading directly from the terminal area.
As they taxied, the crew contemplated switching to runway 28 for departure because weather surrounding the airport appeared to be less intense to the west. The crew discussed departure options and reviewed aircraft performance information as they taxied. At the same time, they remained mindful of the ATR-72 on final approach to runway 10.
The crew of VH-QOP made a right turn from taxiway A onto taxiway A1 as the ATR-72 was on late final approach. As they entered taxiway A1, the crew inadvertently continued over the holding point line before coming to a stop. The main wheels of the aircraft were just beyond the holding point line as the ATR-72 landed. Although the crew of VH-QOP stopped well short of the runway surface and were aware of the ATR-72 on final approach, the incident still falls within the definition of a runway incursion given the â€˜incorrect presenceâ€™ of the aircraft within the runway flight strip as another aircraft was landing.</t>
  </si>
  <si>
    <t>6/04/2014</t>
  </si>
  <si>
    <t>201403438</t>
  </si>
  <si>
    <t>During taxi, fumes were detected in the cabin and the aircraft returned to the bay. Engineers could not determine the source of the fumes.</t>
  </si>
  <si>
    <t>1/04/2014</t>
  </si>
  <si>
    <t>201403337</t>
  </si>
  <si>
    <t>abeam Goulburn Aerodrome</t>
  </si>
  <si>
    <t>During the cruise, the crew detected fumes in the galley. Engineers did not find the source of the fumes.</t>
  </si>
  <si>
    <t>28/03/2014</t>
  </si>
  <si>
    <t>201403166</t>
  </si>
  <si>
    <t>Rockhampton Aerodrome, S M 2Km</t>
  </si>
  <si>
    <t>During final approach, the aircraft struck a bird.</t>
  </si>
  <si>
    <t>26/03/2014</t>
  </si>
  <si>
    <t>201402572</t>
  </si>
  <si>
    <t>During taxi, the crew detected fumes and the aircraft returned to the bay. Engineers were unable to determine the source of the fumes.</t>
  </si>
  <si>
    <t>25/03/2014</t>
  </si>
  <si>
    <t>201403062</t>
  </si>
  <si>
    <t>During a visual approach to runway 35, the aircraft encountered light windshear.</t>
  </si>
  <si>
    <t>24/03/2014</t>
  </si>
  <si>
    <t>201403040</t>
  </si>
  <si>
    <t>During final approach at night, the crew received an E/GPWS TERRAIN AHEAD warning and conducted a missed approach.</t>
  </si>
  <si>
    <t>17/03/2014</t>
  </si>
  <si>
    <t>201402799</t>
  </si>
  <si>
    <t>During landing on runway 28, the aircraft struck a bat.</t>
  </si>
  <si>
    <t>5/03/2014</t>
  </si>
  <si>
    <t>201401150</t>
  </si>
  <si>
    <t>On 5 March 2014 at about 1044 Eastern Standard Time, an ATR 72 aircraft, registered VH-FVI (FVI), was about 25 NM southeast of Moranbah, Queensland on descent to the airport.
The captain of FVI broadcast on the common traffic advisory frequency (CTAF), advising that the aircraft was inbound and planned to conduct a non-directional beacon (NDB) approach, with an estimated arrival time of 1049 overhead the airport. At about 1047, the captain broadcast when 10 NM SE tracking NW to conduct an NDB A approach. At 1049, the captain broadcast tracking outbound in the approach and that they â€œshould be turning straight in for a landing runway 16â€.
At about 1050, following the report of a suspected birdstrike by the aircraft just landed, the aerodrome reporting officer (ARO) on duty was in the airport terminal when asked by airport ground staff to conduct a runway inspection. At about 1052 the ARO broadcast on the CTAF advising that the vehicle was preparing to enter the runway for a runway inspection. The ARO then conducted a thorough lookout for aircraft approaching and on the runway with no aircraft sighted. He then broadcast a call entering the runway and commenced driving north along the runway. When at the northern threshold, the vehicle turned and drove south along the runway.
The crew of FVI did not hear either broadcast from the ARO. At about 1055, when at about 20 ft above ground level (AGL), the captain looked up out of the cockpit along the runway and sighted the safety vehicle on the white runway aiming point markings near the far end of the runway. The captain immediately broadcast â€œcar vacateâ€. The ARO immediately drove the vehicle off the runway and once clear, broadcast that the safety vehicle had now vacated all runways.</t>
  </si>
  <si>
    <t>3/03/2014</t>
  </si>
  <si>
    <t>201402248</t>
  </si>
  <si>
    <t>During the take-off run, the aircraft struck a bird.</t>
  </si>
  <si>
    <t>27/02/2014</t>
  </si>
  <si>
    <t>201402153</t>
  </si>
  <si>
    <t>Passing 200 ft on final approach, the aircraft encountered windshear and the crew conducted a missed approach.</t>
  </si>
  <si>
    <t>20/02/2014</t>
  </si>
  <si>
    <t>201400786</t>
  </si>
  <si>
    <t>Sydney Aerodrome, 247.5Â° M 47Km</t>
  </si>
  <si>
    <t>On 20 February 2014, Virgin Australia Regional Airlines (VARA) was operating an ATR 72 aircraft, registered VH-FVR, on a scheduled passenger flight from Canberra to Sydney. During descent with the autopilot in vertical speed mode, the first officer as pilot flying was manually adjusting engine power to maintain the airspeed around the target of 235 kt.
While passing through about 8,500 ft, the aircraft encountered a significant windshear that resulted in a rapidly decreasing tailwind. This led to a rapid increase in airspeed, with the airspeed trend vector (displaying predicted speed on the primary flight display) likely indicating well above the maximum operating speed (VMO) of the aircraft of 250 kt. The first officer reduced engine power and made nose-up control inputs in an attempt to slow the aircraft.
In response to the unexpectedly high airspeed trend indication and their proximity to VMO, the captain (pilot not flying) perceived a need to take over control of the aircraft, with the intention of preventing the airspeed exceeding VMO. The captain took hold of the controls and made nose-up pitch control inputs without immediately following the specified take-over procedure and alerting the first officer of his intent.
About 1 second after the captain initiated the nose-up control inputs, the first officer (unaware that the captain was also making control inputs) reversed his control input. The differential forces in the left (captain) and right (first officer) pitch control systems reached the threshold to activate the pitch uncoupling mechanism, disconnecting the left and right pitch control systems from each other.
The captain completed the take-over by announcing he had control about 5â€“6 seconds after taking hold of the controls. However, before the takeover procedure was completed, the addition of the captainâ€™s and first officerâ€™s nose-up control inputs resulted in a pitching manoeuvre that exceeded the limit load factor for the aircraft.
Given the high airspeed, asymmetric elevator deflections that occurred immediately following the pitch disconnect event resulted in aerodynamic loads that exceeded the strength of the horizontal stabiliser and resulted in significant damage to the stabiliser.
At the start of the pitching manoeuvre, the senior cabin crew member was unrestrained in the rear of the cabin as she waited for a passenger to return to their seat. When the aircraft pitched back down, the cabin crew member was thrown from her seat and suffered a broken leg.
The flight crew continued the flight using one of the pitch control systems and landed without further incident at Sydney.
Based on the crew report of an in-flight pitch disconnect associated with moderate turbulence, and data recorded by the aircraftâ€™s on board maintenance systems, VARA maintenance watch arranged for the contracted approved maintenance organisation, Toll Aviation Engineering, to carry out the applicable maintenance. However, the licenced aircraft maintenance engineers involved in the Inspection after flight in turbulence and/or exceeding VMO did not carry out the specified general visual inspection of the stabilisers probably because of a breakdown in the coordination and certification of the inspection tasks between the engineers. The damaged horizontal stabiliser was not detected and the aircraft was released to service.
During the next 5 days the aircraft was operated on 13 flights and was subject to routine walk-around visual inspections by flight crew and engineers. No one identified any anomalies until flight crew observed some damage after a suspected bird strike. The aircraft was grounded and subjected to extensive maintenance that included replacement of the horizontal and vertical stabilisers. The final investigation report has been published.</t>
  </si>
  <si>
    <t>Serious</t>
  </si>
  <si>
    <t>201400985</t>
  </si>
  <si>
    <t>Sydney Aerodrome, 247.5Â° T 47Km</t>
  </si>
  <si>
    <t>12/02/2014</t>
  </si>
  <si>
    <t>201401577</t>
  </si>
  <si>
    <t>Passing 200 ft on approach to runway 35, the aircraft encountered windshear.</t>
  </si>
  <si>
    <t>9/02/2014</t>
  </si>
  <si>
    <t>201401473</t>
  </si>
  <si>
    <t>While conducting the RNAV approach, the flight computer did not arm correctly and the crew conducted a missed approach.</t>
  </si>
  <si>
    <t>5/02/2014</t>
  </si>
  <si>
    <t>201401300</t>
  </si>
  <si>
    <t>Passing 50 ft on approach, the aircraft struck a bird.</t>
  </si>
  <si>
    <t>201401302</t>
  </si>
  <si>
    <t>Passing 200 ft on approach to runway 19, the aircraft encountered windshear.</t>
  </si>
  <si>
    <t>31/01/2014</t>
  </si>
  <si>
    <t>201401191</t>
  </si>
  <si>
    <t>During approach to runway 15, the aircraft encountered severe turbulence and windshear and the crew conducted a missed approach and diverted to Brisbane. A passenger locked themselves into the lavatory during the approach.</t>
  </si>
  <si>
    <t>28/01/2014</t>
  </si>
  <si>
    <t>201401147</t>
  </si>
  <si>
    <t>During final approach, the aircraft struck a white-throated needletail.</t>
  </si>
  <si>
    <t>26/01/2014</t>
  </si>
  <si>
    <t>201400610</t>
  </si>
  <si>
    <t>During final approach, the aircraft encountered moderate windshear and the crew conducted a missed approach.</t>
  </si>
  <si>
    <t>23/01/2014</t>
  </si>
  <si>
    <t>201400157</t>
  </si>
  <si>
    <t>During the climb, the crew detected abnormal engine indications and the aircraft returned to Emerald. Engineers replaced the No. 1 propeller valve module.</t>
  </si>
  <si>
    <t>201401027</t>
  </si>
  <si>
    <t>Passing 10,000 ft on climb, a cabin crew member detected air and fumes coming from under the seat. The fumes dissipated after short time and flight continued to Emerald. The subsequent engineering inspection did not reveal any abnormalities.</t>
  </si>
  <si>
    <t>8/01/2014</t>
  </si>
  <si>
    <t>201400233</t>
  </si>
  <si>
    <t>Passing 1,000 ft on visual approach on runway 35, the aircraft encountered overshoot and undershoot windshear.</t>
  </si>
  <si>
    <t>5/01/2014</t>
  </si>
  <si>
    <t>201400163</t>
  </si>
  <si>
    <t>Passing 500ft on approach, the aircraft encountered windshear and sink which resulted in a GPWS TOO LOW GLIDE SLOPE. The crew conducted a missed approach.</t>
  </si>
  <si>
    <t>2/01/2014</t>
  </si>
  <si>
    <t>201400053</t>
  </si>
  <si>
    <t>During take-off on runway 16R, the aircraft struck a bird.</t>
  </si>
  <si>
    <t>30/12/2013</t>
  </si>
  <si>
    <t>201312942</t>
  </si>
  <si>
    <t>During the descent, the crew detected fumes in the cabin.  An engineering inspection did not reveal the source of the fumes.</t>
  </si>
  <si>
    <t>29/12/2013</t>
  </si>
  <si>
    <t>201312847</t>
  </si>
  <si>
    <t>abeam Bundaberg Aerodrome</t>
  </si>
  <si>
    <t>During the cruise, the aircraft was struck by lightning.</t>
  </si>
  <si>
    <t>24/12/2013</t>
  </si>
  <si>
    <t>201312732</t>
  </si>
  <si>
    <t>During the initial climb, the crew received a flight control system warning and returned to Brisbane. Engineers replaced the right hand flap position transmitter.</t>
  </si>
  <si>
    <t>21/12/2013</t>
  </si>
  <si>
    <t>201312681</t>
  </si>
  <si>
    <t>During the landing in windy conditions, the aircraft bounced and the tail bumper struck the ground.</t>
  </si>
  <si>
    <t>15/12/2013</t>
  </si>
  <si>
    <t>201312198</t>
  </si>
  <si>
    <t>During the take-off run, the crew received a digital air data computer (DADC) warning and rejected the takeoff. The computer was reset and the message cleared. During the next takeoff the warning reappeared and the aircraft returned to Rockhampton. During the engineering inspection, a bee was found lodged in the pitot tube.</t>
  </si>
  <si>
    <t>13/12/2013</t>
  </si>
  <si>
    <t>201311925</t>
  </si>
  <si>
    <t>During the take-off run, the crew received multiple flight instrument warnings and rejected the take-off. The crew actioned the non-normal checklist and operations returned to normal. An engineering inspection did not reveal any flight instrument faults.</t>
  </si>
  <si>
    <t>8/12/2013</t>
  </si>
  <si>
    <t>201312411</t>
  </si>
  <si>
    <t>Passing 1,000 ft on approach to runway 35, the aircraft struck a bird.</t>
  </si>
  <si>
    <t>2/12/2013</t>
  </si>
  <si>
    <t>201312027</t>
  </si>
  <si>
    <t>201312655</t>
  </si>
  <si>
    <t>Port Macquarie Aerodrome, S M 37Km</t>
  </si>
  <si>
    <t>During descent to 9,000 ft, the ATR - GIE Avions ATR72 received a TCAS RA on an opposite direction aircraft descending from its assigned level of 10,000 ft. The ATR72 climbed to maintain separation.</t>
  </si>
  <si>
    <t>201312026</t>
  </si>
  <si>
    <t>29/11/2013</t>
  </si>
  <si>
    <t>201311663</t>
  </si>
  <si>
    <t>During take-off, the aircraft struck a bird and takeoff was rejected.</t>
  </si>
  <si>
    <t>24/11/2013</t>
  </si>
  <si>
    <t>201311879</t>
  </si>
  <si>
    <t>During initial climb, the aircraft encountered windshear accompanied by a GPWS DON'T SINK warning.</t>
  </si>
  <si>
    <t>201311872</t>
  </si>
  <si>
    <t>During the take-off run, the crew detected an air data computer (ADC) fault and rejected the take-off. The crew reset the automatic flight control system (AFCS) and operations returned to normal.</t>
  </si>
  <si>
    <t>12/11/2013</t>
  </si>
  <si>
    <t>201311247</t>
  </si>
  <si>
    <t>During the approach, the left air data computer (ADC) failed causing multiple instrument failures and the GPWS to activate. Engineers did not detect any faults with the ADC.</t>
  </si>
  <si>
    <t>7/11/2013</t>
  </si>
  <si>
    <t>201311057</t>
  </si>
  <si>
    <t>During the landing roll, the aircraft struck a bird.</t>
  </si>
  <si>
    <t>27/10/2013</t>
  </si>
  <si>
    <t>201310441</t>
  </si>
  <si>
    <t>During landing, the tail bumper shoe contacted the runway.</t>
  </si>
  <si>
    <t>24/10/2013</t>
  </si>
  <si>
    <t>201310372</t>
  </si>
  <si>
    <t>18/10/2013</t>
  </si>
  <si>
    <t>201310816</t>
  </si>
  <si>
    <t>During an ILS approach in VMC, the ground based aid failed. The aircraft continued the approach.</t>
  </si>
  <si>
    <t>13/10/2013</t>
  </si>
  <si>
    <t>201310154</t>
  </si>
  <si>
    <t>During approach, the crew received a GPWS glideslope warning and encountered windshear.</t>
  </si>
  <si>
    <t>11/10/2013</t>
  </si>
  <si>
    <t>201310165</t>
  </si>
  <si>
    <t>near Wollongong Aerodrome (BUNGO (IFR) )</t>
  </si>
  <si>
    <t>During cruise, the crew sighted a bunch of balloons approximately 200 ft below.</t>
  </si>
  <si>
    <t>27/09/2013</t>
  </si>
  <si>
    <t>201309572</t>
  </si>
  <si>
    <t>During the initial climb, the aircraft struck a bird.</t>
  </si>
  <si>
    <t>26/09/2013</t>
  </si>
  <si>
    <t>201313075</t>
  </si>
  <si>
    <t>During the approach, the aircraft encountered severe turbulence and the crew conducted a missed approach.</t>
  </si>
  <si>
    <t>13/09/2013</t>
  </si>
  <si>
    <t>201310564</t>
  </si>
  <si>
    <t>During landing, the aircraft struck a magpie lark.</t>
  </si>
  <si>
    <t>31/08/2013</t>
  </si>
  <si>
    <t>201308441</t>
  </si>
  <si>
    <t>During the cruise, the cabin crew detected fumes. An engineering inspection revealed a faulty cabin sensor fan.</t>
  </si>
  <si>
    <t>1/08/2013</t>
  </si>
  <si>
    <t>201307503</t>
  </si>
  <si>
    <t>Unknown
-----
Unknown</t>
  </si>
  <si>
    <t>The departing ATR72 did not track in accordance with ATC instructions resulting in a loss of separation assurance with another ATR72 on a reciprocal track.</t>
  </si>
  <si>
    <t>25/07/2013</t>
  </si>
  <si>
    <t>201307186</t>
  </si>
  <si>
    <t>Sydney Aerodrome, 160° M 15Km</t>
  </si>
  <si>
    <t>While turning final on an independent visual approach to runway 34L, the crew received TCAS RA on an aircraft approaching the parallel runway.</t>
  </si>
  <si>
    <t>22/07/2013</t>
  </si>
  <si>
    <t>201306858</t>
  </si>
  <si>
    <t>During landing, the aircraft struck two wood ducks and the crew rejected the takeoff.</t>
  </si>
  <si>
    <t>21/07/2013</t>
  </si>
  <si>
    <t>201307137</t>
  </si>
  <si>
    <t>During descent, the crew received abnormal engine torque indications. Engineers swapped over the torque indications gauges and operations returned to normal.</t>
  </si>
  <si>
    <t>18/07/2013</t>
  </si>
  <si>
    <t>201307228</t>
  </si>
  <si>
    <t>8/07/2013</t>
  </si>
  <si>
    <t>201306208</t>
  </si>
  <si>
    <t>On 8 July 2013, an Avions de Transport Regional ATR72-212A, operated by Virgin Australia Regional Airlines Pty Ltd (VARA) and registered VH-FVY, touched down at Moranbah Airport, Queensland. During the landing roll, the aircraft changed direction a number of times. At one point, the aircraft departed the right side of the runway. One passenger reported a minor injury. The aircraft was not damaged as a consequence of the runway excursion.</t>
  </si>
  <si>
    <t>30/06/2013</t>
  </si>
  <si>
    <t>201306839</t>
  </si>
  <si>
    <t>28/06/2013</t>
  </si>
  <si>
    <t>201306215</t>
  </si>
  <si>
    <t>The crew responded to an instruction intended for another aircraft.</t>
  </si>
  <si>
    <t>26/06/2013</t>
  </si>
  <si>
    <t>201305852</t>
  </si>
  <si>
    <t>9/06/2013</t>
  </si>
  <si>
    <t>201305732</t>
  </si>
  <si>
    <t>During initial climb, the No. 2 attitude heading reference system (AHRS) failed and the aircraft returned to Brisbane. An engineering inspection revealed faulty wiring.</t>
  </si>
  <si>
    <t>7/06/2013</t>
  </si>
  <si>
    <t>201305679</t>
  </si>
  <si>
    <t>During the landing, the aircraft struck a flying fox.</t>
  </si>
  <si>
    <t>23/05/2013</t>
  </si>
  <si>
    <t>201305001</t>
  </si>
  <si>
    <t>During landing, the aircraft's tail struck the ground resulting in minor damage.</t>
  </si>
  <si>
    <t>22/05/2013</t>
  </si>
  <si>
    <t>201313162</t>
  </si>
  <si>
    <t>During cruise, fumes were detected in the cabin.</t>
  </si>
  <si>
    <t>15/05/2013</t>
  </si>
  <si>
    <t>201304675</t>
  </si>
  <si>
    <t>On 15 May 2013, an ATR-GIE Avions de Transport Regional ATR72-212A (ATR72), registered VH-FVR and operated by Virgin Australia Regional Airlines Pty Ltd (VARA), was conducting an instrument flight rules flight from Brisbane Airport to Moranbah Airport, Queensland. During the visual approach to Moranbah, the aircraft descended to a height of 440 ft above ground level as the pilot manoeuvred to avoid cloud. As the pilot levelled the aircraft, a number of terrain awareness warning system (TAWS) ground proximity warning system alerts activated. The aircraft was climbed and the circuit was continued, with the activation of another TAWS alert prior to the aircraft landing.</t>
  </si>
  <si>
    <t>13/05/2013</t>
  </si>
  <si>
    <t>201304691</t>
  </si>
  <si>
    <t>abeam Innisfail Aerodrome</t>
  </si>
  <si>
    <t>During the cruise on two consecutive sectors, the crew detected fumes in the cabin. Engineers were unable to identify the source of the fumes.</t>
  </si>
  <si>
    <t>9/05/2013</t>
  </si>
  <si>
    <t>201304488</t>
  </si>
  <si>
    <t>During the landing roll, the aircraft struck two mudlarks.</t>
  </si>
  <si>
    <t>4/05/2013</t>
  </si>
  <si>
    <t>201304320</t>
  </si>
  <si>
    <t>Canberra Aerodrome, 045° M 74Km</t>
  </si>
  <si>
    <t>The Bombardier DHC-8 descended below its cleared level resulting in a loss of separation with the descending ATR72. The DHC-8 crew reported being distracted due to high workload.</t>
  </si>
  <si>
    <t>3/05/2013</t>
  </si>
  <si>
    <t>201304337</t>
  </si>
  <si>
    <t>near Cairns Aerodrome</t>
  </si>
  <si>
    <t>During the initial climb, the aircraft struck a flying fox.</t>
  </si>
  <si>
    <t>30/04/2013</t>
  </si>
  <si>
    <t>201304240</t>
  </si>
  <si>
    <t>During approach, the crew received abnormal torque indications. Engineers replaced a temperature probe and electronic engine control (EEC) unit.</t>
  </si>
  <si>
    <t>29/04/2013</t>
  </si>
  <si>
    <t>201304045</t>
  </si>
  <si>
    <t>During taxi, the crew detected fumes and the aircraft returned to the bay. An inspection did not reveal the source of the fumes.</t>
  </si>
  <si>
    <t>27/04/2013</t>
  </si>
  <si>
    <t>201304148</t>
  </si>
  <si>
    <t>During the final approach, the aircraft struck a bird.</t>
  </si>
  <si>
    <t>23/04/2013</t>
  </si>
  <si>
    <t>201303966</t>
  </si>
  <si>
    <t>18/04/2013</t>
  </si>
  <si>
    <t>201303841</t>
  </si>
  <si>
    <t>During takeoff, the aircraft struck multiple birds.</t>
  </si>
  <si>
    <t>201303686</t>
  </si>
  <si>
    <t>16/04/2013</t>
  </si>
  <si>
    <t>201303631</t>
  </si>
  <si>
    <t>During takeoff, the aircraft struck a bird and returned to Brisbane.</t>
  </si>
  <si>
    <t>6/04/2013</t>
  </si>
  <si>
    <t>201303333</t>
  </si>
  <si>
    <t>2/04/2013</t>
  </si>
  <si>
    <t>201303167</t>
  </si>
  <si>
    <t>During the initial climb, the aircraft struck a bird and returned to Gladstone.</t>
  </si>
  <si>
    <t>31/03/2013</t>
  </si>
  <si>
    <t>201303091</t>
  </si>
  <si>
    <t>201303071</t>
  </si>
  <si>
    <t>21/03/2013</t>
  </si>
  <si>
    <t>201302739</t>
  </si>
  <si>
    <t>18/03/2013</t>
  </si>
  <si>
    <t>201302721</t>
  </si>
  <si>
    <t>During boarding, a ground crew member reported detecting fumes. While distracted by the fumes issue, the crew inadvertantly selected an incorrect transponder code. An engineering inspection did not reveal the source of the fumes.</t>
  </si>
  <si>
    <t>15/03/2013</t>
  </si>
  <si>
    <t>201302535</t>
  </si>
  <si>
    <t>The ATR72 crew sighted the Cessna 152 departing the reciprocal runway and turned to ensure separation was maintained.</t>
  </si>
  <si>
    <t>10/03/2013</t>
  </si>
  <si>
    <t>201302395</t>
  </si>
  <si>
    <t>9/03/2013</t>
  </si>
  <si>
    <t>201302685</t>
  </si>
  <si>
    <t>During descent, the altitude/heading reference systems (AHRS) failed momentarily. Engineers replaced both AHRS units.</t>
  </si>
  <si>
    <t>7/03/2013</t>
  </si>
  <si>
    <t>201302378</t>
  </si>
  <si>
    <t>22/02/2013</t>
  </si>
  <si>
    <t>201301762</t>
  </si>
  <si>
    <t>During the take-off run, the aircraft struck multiple birds.</t>
  </si>
  <si>
    <t>18/02/2013</t>
  </si>
  <si>
    <t>201301831</t>
  </si>
  <si>
    <t>During the landing flare, the captain's seat failed and the captain handed control of the aircraft to the co-pilot. Engineers replaced the forward and aft control leaver spring.</t>
  </si>
  <si>
    <t>12/02/2013</t>
  </si>
  <si>
    <t>201301424</t>
  </si>
  <si>
    <t>On 12 February 2013, an ATR72 aircraft, registered VH-FVH (FVH), departed Sydney on a scheduled passenger service to Port Macquarie, New South Wales, under the instrument flight rules (IFR). When inbound to Port Macquarie, the crew heard a taxi call from the crew of a DHC-8-315 aircraft, registered VH-TQZ (TQZ), operating an IFR scheduled passenger service from Port Macquarie to Sydney. The crews of both FVH and TQZ discussed their respective positions and intentions and the crew of TQZ stated that they would advise FVH when they were about to take-off.
When on downwind, approaching 3,000 ft in IMC, the captain of TQZ observed an aircraft on the TCAS, above. The captain identified the aircraft as FVH and instructed the first officer to stop the climb and turn the aircraft to the right. Shortly after, the crew received a TCAS traffic advisory (TA) and then an initial resolution advisory (RA) to descend, followed shortly after by an RA to ‘adjust vertical speed’. At the same time, while also in IMC, the crew of FVH also reported receiving a TCAS TA and then a TCAS RA to climb. The captain of FVH immediately responded and climbed the aircraft.  Both flights continued without further incident.</t>
  </si>
  <si>
    <t>29/01/2013</t>
  </si>
  <si>
    <t>201300930</t>
  </si>
  <si>
    <t>During climb, the aircraft struck a bird.</t>
  </si>
  <si>
    <t>27/01/2013</t>
  </si>
  <si>
    <t>201300896</t>
  </si>
  <si>
    <t>abeam Coffs Harbour Aerodrome</t>
  </si>
  <si>
    <t>During cruise, the crew detected abnormal engine indications. Engineers cleaned and checked both electronic engine control (EEC) plugs.</t>
  </si>
  <si>
    <t>22/01/2013</t>
  </si>
  <si>
    <t>201300660</t>
  </si>
  <si>
    <t>During the approach, the aircraft struck a small bird.</t>
  </si>
  <si>
    <t>17/01/2013</t>
  </si>
  <si>
    <t>201300477</t>
  </si>
  <si>
    <t>Brisbane Aerodrome, 270° M 13Km</t>
  </si>
  <si>
    <t>ATR72
-----
303</t>
  </si>
  <si>
    <t>CTA
-----
CTR</t>
  </si>
  <si>
    <t>The Cessna 303 entered controlled airspace without a clearance resulting in a loss of separation with the ATR72.</t>
  </si>
  <si>
    <t>12/01/2013</t>
  </si>
  <si>
    <t>201300343</t>
  </si>
  <si>
    <t>Sydney Aerodrome, 229° M 83Km</t>
  </si>
  <si>
    <t>During approach, the crew advised that they were unable to comply with ATC instructions.</t>
  </si>
  <si>
    <t>1/01/2013</t>
  </si>
  <si>
    <t>201300021</t>
  </si>
  <si>
    <t>Cairns Aerodrome</t>
  </si>
  <si>
    <t>During the final approach, the aircraft struck two sparrows.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</si>
</sst>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Calibri"/>
    </font>
    <font>
      <sz val="8"/>
      <name val="Calibri"/>
    </font>
    <font>
      <b/>
      <sz val="11"/>
      <name val="Calibri"/>
    </font>
    <font>
      <sz val="11"/>
      <color rgb="FFFFFFFF"/>
      <name val="Calibri"/>
    </font>
    <font>
      <b/>
      <sz val="10"/>
      <color rgb="FFFFFFFF"/>
      <name val="Calibri"/>
    </font>
    <font>
      <u/>
      <sz val="8"/>
      <color rgb="FF0000FF"/>
      <name val="Calibri"/>
    </font>
  </fonts>
  <fills count="3">
    <fill>
      <patternFill patternType="none"/>
    </fill>
    <fill>
      <patternFill patternType="gray125"/>
    </fill>
    <fill>
      <patternFill patternType="solid">
        <fgColor rgb="FF00344E"/>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applyProtection="1"/>
    <xf numFmtId="0" fontId="1" fillId="0" borderId="0" xfId="0" applyFont="1" applyProtection="1"/>
    <xf numFmtId="0" fontId="2" fillId="0" borderId="0" xfId="0" applyFont="1" applyAlignment="1" applyProtection="1">
      <alignment horizontal="center" vertical="center"/>
    </xf>
    <xf numFmtId="0" fontId="2" fillId="0" borderId="0" xfId="0" applyFont="1" applyAlignment="1" applyProtection="1">
      <alignment vertical="top"/>
    </xf>
    <xf numFmtId="0" fontId="3" fillId="0" borderId="0" xfId="0" applyFont="1" applyAlignment="1" applyProtection="1">
      <alignment horizontal="left" vertical="center"/>
    </xf>
    <xf numFmtId="0" fontId="5" fillId="2" borderId="10"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2" fillId="0" borderId="11" xfId="0" applyFont="1" applyBorder="1" applyAlignment="1" applyProtection="1">
      <alignment horizontal="center" vertical="top" wrapText="1"/>
    </xf>
    <xf numFmtId="0" fontId="1" fillId="0" borderId="0" xfId="0" applyFont="1" applyProtection="1"/>
    <xf numFmtId="0" fontId="4" fillId="2" borderId="4" xfId="0" applyFont="1" applyFill="1" applyBorder="1" applyAlignment="1" applyProtection="1">
      <alignment horizontal="left"/>
    </xf>
    <xf numFmtId="0" fontId="4" fillId="2" borderId="5" xfId="0" applyFont="1" applyFill="1" applyBorder="1" applyAlignment="1" applyProtection="1">
      <alignment horizontal="left"/>
    </xf>
    <xf numFmtId="0" fontId="4" fillId="2" borderId="6" xfId="0" applyFont="1" applyFill="1" applyBorder="1" applyAlignment="1" applyProtection="1">
      <alignment horizontal="left"/>
    </xf>
    <xf numFmtId="0" fontId="2" fillId="0" borderId="0" xfId="0" applyFont="1" applyAlignment="1" applyProtection="1">
      <alignment horizontal="center" vertical="center"/>
    </xf>
    <xf numFmtId="0" fontId="4" fillId="2" borderId="1" xfId="0" applyFont="1" applyFill="1" applyBorder="1" applyAlignment="1" applyProtection="1">
      <alignment horizontal="left"/>
    </xf>
    <xf numFmtId="0" fontId="4" fillId="2" borderId="2" xfId="0" applyFont="1" applyFill="1" applyBorder="1" applyAlignment="1" applyProtection="1">
      <alignment horizontal="left"/>
    </xf>
    <xf numFmtId="0" fontId="4" fillId="2" borderId="3" xfId="0" applyFont="1" applyFill="1" applyBorder="1" applyAlignment="1" applyProtection="1">
      <alignment horizontal="left"/>
    </xf>
    <xf numFmtId="0" fontId="4" fillId="2" borderId="7" xfId="0" applyFont="1" applyFill="1" applyBorder="1" applyAlignment="1" applyProtection="1">
      <alignment horizontal="left"/>
    </xf>
    <xf numFmtId="0" fontId="4" fillId="2" borderId="8" xfId="0" applyFont="1" applyFill="1" applyBorder="1" applyAlignment="1" applyProtection="1">
      <alignment horizontal="left"/>
    </xf>
    <xf numFmtId="0" fontId="4" fillId="2" borderId="9" xfId="0" applyFont="1" applyFill="1" applyBorder="1" applyAlignment="1" applyProtection="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0</xdr:rowOff>
    </xdr:from>
    <xdr:to>
      <xdr:col>5</xdr:col>
      <xdr:colOff>1228197</xdr:colOff>
      <xdr:row>5</xdr:row>
      <xdr:rowOff>178204</xdr:rowOff>
    </xdr:to>
    <xdr:pic>
      <xdr:nvPicPr>
        <xdr:cNvPr id="2" name="Picture 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50"/>
  <sheetViews>
    <sheetView showGridLines="0" tabSelected="1" topLeftCell="D1" zoomScaleNormal="100" zoomScaleSheetLayoutView="100" workbookViewId="0">
      <pane ySplit="9" topLeftCell="A184" activePane="bottomLeft" state="frozen"/>
      <selection pane="bottomLeft"/>
    </sheetView>
  </sheetViews>
  <sheetFormatPr defaultColWidth="8.85546875" defaultRowHeight="12.75" x14ac:dyDescent="0.2"/>
  <cols>
    <col min="1" max="1" width="2.42578125" style="1" customWidth="1"/>
    <col min="2" max="2" width="9.42578125" style="2" customWidth="1"/>
    <col min="3" max="3" width="10.42578125" style="2" customWidth="1"/>
    <col min="4" max="4" width="8.85546875" style="2" customWidth="1"/>
    <col min="5" max="5" width="13" style="2" customWidth="1"/>
    <col min="6" max="6" width="19" style="2" customWidth="1"/>
    <col min="7" max="8" width="10.42578125" style="2" customWidth="1"/>
    <col min="9" max="9" width="6" style="2" customWidth="1"/>
    <col min="10" max="10" width="13.42578125" style="2" customWidth="1"/>
    <col min="11" max="11" width="8.42578125" style="2" customWidth="1"/>
    <col min="12" max="12" width="11.140625" style="2" customWidth="1"/>
    <col min="13" max="13" width="11.28515625" style="2" customWidth="1"/>
    <col min="14" max="14" width="8" style="2" customWidth="1"/>
    <col min="15" max="15" width="9.140625" style="2" customWidth="1"/>
    <col min="16" max="16" width="60.7109375" style="3" customWidth="1"/>
    <col min="17" max="17" width="0" style="1" hidden="1" customWidth="1"/>
    <col min="18" max="256" width="8.85546875" style="1" customWidth="1"/>
  </cols>
  <sheetData>
    <row r="1" spans="1:17" ht="15" customHeight="1" x14ac:dyDescent="0.2">
      <c r="A1" s="9" t="s">
        <v>0</v>
      </c>
      <c r="B1" s="9"/>
      <c r="C1" s="9"/>
      <c r="D1" s="9"/>
      <c r="E1" s="9"/>
      <c r="F1" s="9"/>
      <c r="G1" s="9"/>
      <c r="H1" s="9"/>
      <c r="I1" s="9"/>
      <c r="J1" s="9"/>
      <c r="K1" s="9"/>
      <c r="L1" s="9"/>
      <c r="M1" s="9"/>
      <c r="N1" s="9"/>
      <c r="O1" s="9"/>
      <c r="P1" s="9"/>
    </row>
    <row r="2" spans="1:17" ht="15" customHeight="1" x14ac:dyDescent="0.25">
      <c r="B2" s="13"/>
      <c r="C2" s="13"/>
      <c r="D2" s="13"/>
      <c r="E2" s="13"/>
      <c r="F2" s="13"/>
      <c r="I2" s="4"/>
      <c r="J2" s="14" t="s">
        <v>1</v>
      </c>
      <c r="K2" s="15"/>
      <c r="L2" s="15"/>
      <c r="M2" s="15"/>
      <c r="N2" s="15"/>
      <c r="O2" s="15"/>
      <c r="P2" s="16"/>
    </row>
    <row r="3" spans="1:17" ht="15" customHeight="1" x14ac:dyDescent="0.25">
      <c r="B3" s="13"/>
      <c r="C3" s="13"/>
      <c r="D3" s="13"/>
      <c r="E3" s="13"/>
      <c r="F3" s="13"/>
      <c r="I3" s="4"/>
      <c r="J3" s="10" t="s">
        <v>2</v>
      </c>
      <c r="K3" s="11"/>
      <c r="L3" s="11"/>
      <c r="M3" s="11"/>
      <c r="N3" s="11"/>
      <c r="O3" s="11"/>
      <c r="P3" s="12"/>
    </row>
    <row r="4" spans="1:17" ht="15" customHeight="1" x14ac:dyDescent="0.25">
      <c r="B4" s="13"/>
      <c r="C4" s="13"/>
      <c r="D4" s="13"/>
      <c r="E4" s="13"/>
      <c r="F4" s="13"/>
      <c r="I4" s="4"/>
      <c r="J4" s="10" t="s">
        <v>3</v>
      </c>
      <c r="K4" s="11"/>
      <c r="L4" s="11"/>
      <c r="M4" s="11"/>
      <c r="N4" s="11"/>
      <c r="O4" s="11"/>
      <c r="P4" s="12"/>
    </row>
    <row r="5" spans="1:17" ht="15" customHeight="1" x14ac:dyDescent="0.25">
      <c r="I5" s="4"/>
      <c r="J5" s="10" t="s">
        <v>4</v>
      </c>
      <c r="K5" s="11"/>
      <c r="L5" s="11"/>
      <c r="M5" s="11"/>
      <c r="N5" s="11"/>
      <c r="O5" s="11"/>
      <c r="P5" s="12"/>
    </row>
    <row r="6" spans="1:17" ht="15" customHeight="1" x14ac:dyDescent="0.25">
      <c r="I6" s="4"/>
      <c r="J6" s="17" t="s">
        <v>5</v>
      </c>
      <c r="K6" s="18"/>
      <c r="L6" s="18"/>
      <c r="M6" s="18"/>
      <c r="N6" s="18"/>
      <c r="O6" s="18"/>
      <c r="P6" s="19"/>
    </row>
    <row r="7" spans="1:17" ht="12" customHeight="1" x14ac:dyDescent="0.2"/>
    <row r="8" spans="1:17" ht="38.25" x14ac:dyDescent="0.2">
      <c r="B8" s="5" t="s">
        <v>6</v>
      </c>
      <c r="C8" s="5" t="s">
        <v>7</v>
      </c>
      <c r="D8" s="5" t="s">
        <v>8</v>
      </c>
      <c r="E8" s="5" t="s">
        <v>9</v>
      </c>
      <c r="F8" s="5" t="s">
        <v>10</v>
      </c>
      <c r="G8" s="5" t="s">
        <v>11</v>
      </c>
      <c r="H8" s="5" t="s">
        <v>12</v>
      </c>
      <c r="I8" s="5" t="s">
        <v>13</v>
      </c>
      <c r="J8" s="5" t="s">
        <v>14</v>
      </c>
      <c r="K8" s="5" t="s">
        <v>15</v>
      </c>
      <c r="L8" s="5" t="s">
        <v>16</v>
      </c>
      <c r="M8" s="5" t="s">
        <v>17</v>
      </c>
      <c r="N8" s="5" t="s">
        <v>18</v>
      </c>
      <c r="O8" s="5" t="s">
        <v>19</v>
      </c>
      <c r="P8" s="5" t="s">
        <v>20</v>
      </c>
    </row>
    <row r="9" spans="1:17" ht="409.35" hidden="1" customHeight="1" x14ac:dyDescent="0.2"/>
    <row r="10" spans="1:17" ht="67.5" x14ac:dyDescent="0.2">
      <c r="B10" s="6" t="s">
        <v>21</v>
      </c>
      <c r="C10" s="6" t="s">
        <v>22</v>
      </c>
      <c r="D10" s="6" t="s">
        <v>23</v>
      </c>
      <c r="E10" s="7" t="str">
        <f>HYPERLINK("http://www.atsb.gov.au/publications/investigation_reports/2020/aair/AO-2020-005.aspx","AO-2020-005")</f>
        <v>AO-2020-005</v>
      </c>
      <c r="F10" s="6" t="s">
        <v>24</v>
      </c>
      <c r="G10" s="7" t="str">
        <f>HYPERLINK("https://www.google.com.au/maps/place/33° 56.772' S+151° 10.632' E","33° 56.772' S")</f>
        <v>33° 56.772' S</v>
      </c>
      <c r="H10" s="7" t="str">
        <f>HYPERLINK("https://www.google.com.au/maps/place/33° 56.772' S+151° 10.632' E","151° 10.632' E")</f>
        <v>151° 10.632' E</v>
      </c>
      <c r="I10" s="6" t="s">
        <v>25</v>
      </c>
      <c r="J10" s="6" t="s">
        <v>26</v>
      </c>
      <c r="K10" s="6" t="s">
        <v>27</v>
      </c>
      <c r="L10" s="6" t="s">
        <v>28</v>
      </c>
      <c r="M10" s="6" t="s">
        <v>29</v>
      </c>
      <c r="N10" s="6" t="s">
        <v>30</v>
      </c>
      <c r="O10" s="6" t="s">
        <v>31</v>
      </c>
      <c r="P10" s="8" t="s">
        <v>32</v>
      </c>
      <c r="Q10" s="1" t="s">
        <v>33</v>
      </c>
    </row>
    <row r="11" spans="1:17" ht="33.75" x14ac:dyDescent="0.2">
      <c r="B11" s="6" t="s">
        <v>34</v>
      </c>
      <c r="C11" s="6" t="s">
        <v>35</v>
      </c>
      <c r="D11" s="6" t="s">
        <v>36</v>
      </c>
      <c r="E11" s="6" t="s">
        <v>37</v>
      </c>
      <c r="F11" s="6" t="s">
        <v>24</v>
      </c>
      <c r="G11" s="7" t="str">
        <f>HYPERLINK("https://www.google.com.au/maps/place/33° 56.772' S+151° 10.632' E","33° 56.772' S")</f>
        <v>33° 56.772' S</v>
      </c>
      <c r="H11" s="7" t="str">
        <f>HYPERLINK("https://www.google.com.au/maps/place/33° 56.772' S+151° 10.632' E","151° 10.632' E")</f>
        <v>151° 10.632' E</v>
      </c>
      <c r="I11" s="6" t="s">
        <v>25</v>
      </c>
      <c r="J11" s="6" t="s">
        <v>38</v>
      </c>
      <c r="K11" s="6" t="s">
        <v>39</v>
      </c>
      <c r="L11" s="6" t="s">
        <v>40</v>
      </c>
      <c r="M11" s="6" t="s">
        <v>41</v>
      </c>
      <c r="N11" s="6" t="s">
        <v>42</v>
      </c>
      <c r="O11" s="6" t="s">
        <v>43</v>
      </c>
      <c r="P11" s="8" t="s">
        <v>44</v>
      </c>
      <c r="Q11" s="1" t="s">
        <v>33</v>
      </c>
    </row>
    <row r="12" spans="1:17" ht="33.75" x14ac:dyDescent="0.2">
      <c r="B12" s="6" t="s">
        <v>34</v>
      </c>
      <c r="C12" s="6" t="s">
        <v>45</v>
      </c>
      <c r="D12" s="6" t="s">
        <v>36</v>
      </c>
      <c r="E12" s="6" t="s">
        <v>37</v>
      </c>
      <c r="F12" s="6" t="s">
        <v>46</v>
      </c>
      <c r="G12" s="7" t="str">
        <f>HYPERLINK("https://www.google.com.au/maps/place/34° 6.102' S+150° 56.502' E","34° 6.102' S")</f>
        <v>34° 6.102' S</v>
      </c>
      <c r="H12" s="7" t="str">
        <f>HYPERLINK("https://www.google.com.au/maps/place/34° 6.102' S+150° 56.502' E","150° 56.502' E")</f>
        <v>150° 56.502' E</v>
      </c>
      <c r="I12" s="6" t="s">
        <v>25</v>
      </c>
      <c r="J12" s="6" t="s">
        <v>38</v>
      </c>
      <c r="K12" s="6" t="s">
        <v>39</v>
      </c>
      <c r="L12" s="6" t="s">
        <v>40</v>
      </c>
      <c r="M12" s="6" t="s">
        <v>41</v>
      </c>
      <c r="N12" s="6" t="s">
        <v>42</v>
      </c>
      <c r="O12" s="6" t="s">
        <v>43</v>
      </c>
      <c r="P12" s="8" t="s">
        <v>47</v>
      </c>
      <c r="Q12" s="1" t="s">
        <v>33</v>
      </c>
    </row>
    <row r="13" spans="1:17" ht="67.5" x14ac:dyDescent="0.2">
      <c r="B13" s="6" t="s">
        <v>48</v>
      </c>
      <c r="C13" s="6" t="s">
        <v>49</v>
      </c>
      <c r="D13" s="6" t="s">
        <v>36</v>
      </c>
      <c r="E13" s="6" t="s">
        <v>37</v>
      </c>
      <c r="F13" s="6" t="s">
        <v>50</v>
      </c>
      <c r="G13" s="7" t="str">
        <f>HYPERLINK("https://www.google.com.au/maps/place/31° 26.148' S+152° 51.798' E","31° 26.148' S")</f>
        <v>31° 26.148' S</v>
      </c>
      <c r="H13" s="7" t="str">
        <f>HYPERLINK("https://www.google.com.au/maps/place/31° 26.148' S+152° 51.798' E","152° 51.798' E")</f>
        <v>152° 51.798' E</v>
      </c>
      <c r="I13" s="6" t="s">
        <v>25</v>
      </c>
      <c r="J13" s="6" t="s">
        <v>51</v>
      </c>
      <c r="K13" s="6" t="s">
        <v>52</v>
      </c>
      <c r="L13" s="6" t="s">
        <v>53</v>
      </c>
      <c r="M13" s="6" t="s">
        <v>54</v>
      </c>
      <c r="N13" s="6" t="s">
        <v>55</v>
      </c>
      <c r="O13" s="6" t="s">
        <v>56</v>
      </c>
      <c r="P13" s="8" t="s">
        <v>57</v>
      </c>
      <c r="Q13" s="1" t="s">
        <v>33</v>
      </c>
    </row>
    <row r="14" spans="1:17" ht="33.75" x14ac:dyDescent="0.2">
      <c r="B14" s="6" t="s">
        <v>58</v>
      </c>
      <c r="C14" s="6" t="s">
        <v>59</v>
      </c>
      <c r="D14" s="6" t="s">
        <v>36</v>
      </c>
      <c r="E14" s="6" t="s">
        <v>37</v>
      </c>
      <c r="F14" s="6" t="s">
        <v>60</v>
      </c>
      <c r="G14" s="7" t="str">
        <f>HYPERLINK("https://www.google.com.au/maps/place/35° 18.42' S+149° 11.7' E","35° 18.42' S")</f>
        <v>35° 18.42' S</v>
      </c>
      <c r="H14" s="7" t="str">
        <f>HYPERLINK("https://www.google.com.au/maps/place/35° 18.42' S+149° 11.7' E","149° 11.7' E")</f>
        <v>149° 11.7' E</v>
      </c>
      <c r="I14" s="6" t="s">
        <v>61</v>
      </c>
      <c r="J14" s="6" t="s">
        <v>38</v>
      </c>
      <c r="K14" s="6" t="s">
        <v>39</v>
      </c>
      <c r="L14" s="6" t="s">
        <v>40</v>
      </c>
      <c r="M14" s="6" t="s">
        <v>41</v>
      </c>
      <c r="N14" s="6" t="s">
        <v>62</v>
      </c>
      <c r="O14" s="6" t="s">
        <v>43</v>
      </c>
      <c r="P14" s="8" t="s">
        <v>63</v>
      </c>
      <c r="Q14" s="1" t="s">
        <v>33</v>
      </c>
    </row>
    <row r="15" spans="1:17" ht="33.75" x14ac:dyDescent="0.2">
      <c r="B15" s="6" t="s">
        <v>64</v>
      </c>
      <c r="C15" s="6" t="s">
        <v>65</v>
      </c>
      <c r="D15" s="6" t="s">
        <v>36</v>
      </c>
      <c r="E15" s="6" t="s">
        <v>37</v>
      </c>
      <c r="F15" s="6" t="s">
        <v>24</v>
      </c>
      <c r="G15" s="7" t="str">
        <f>HYPERLINK("https://www.google.com.au/maps/place/33° 56.772' S+151° 10.632' E","33° 56.772' S")</f>
        <v>33° 56.772' S</v>
      </c>
      <c r="H15" s="7" t="str">
        <f>HYPERLINK("https://www.google.com.au/maps/place/33° 56.772' S+151° 10.632' E","151° 10.632' E")</f>
        <v>151° 10.632' E</v>
      </c>
      <c r="I15" s="6" t="s">
        <v>25</v>
      </c>
      <c r="J15" s="6" t="s">
        <v>38</v>
      </c>
      <c r="K15" s="6" t="s">
        <v>39</v>
      </c>
      <c r="L15" s="6" t="s">
        <v>40</v>
      </c>
      <c r="M15" s="6" t="s">
        <v>41</v>
      </c>
      <c r="N15" s="6" t="s">
        <v>62</v>
      </c>
      <c r="O15" s="6" t="s">
        <v>43</v>
      </c>
      <c r="P15" s="8" t="s">
        <v>66</v>
      </c>
      <c r="Q15" s="1" t="s">
        <v>33</v>
      </c>
    </row>
    <row r="16" spans="1:17" ht="33.75" x14ac:dyDescent="0.2">
      <c r="B16" s="6" t="s">
        <v>67</v>
      </c>
      <c r="C16" s="6" t="s">
        <v>68</v>
      </c>
      <c r="D16" s="6" t="s">
        <v>36</v>
      </c>
      <c r="E16" s="6" t="s">
        <v>37</v>
      </c>
      <c r="F16" s="6" t="s">
        <v>69</v>
      </c>
      <c r="G16" s="7" t="str">
        <f>HYPERLINK("https://www.google.com.au/maps/place/31° 5.028' S+150° 50.802' E","31° 5.028' S")</f>
        <v>31° 5.028' S</v>
      </c>
      <c r="H16" s="7" t="str">
        <f>HYPERLINK("https://www.google.com.au/maps/place/31° 5.028' S+150° 50.802' E","150° 50.802' E")</f>
        <v>150° 50.802' E</v>
      </c>
      <c r="I16" s="6" t="s">
        <v>25</v>
      </c>
      <c r="J16" s="6" t="s">
        <v>38</v>
      </c>
      <c r="K16" s="6" t="s">
        <v>70</v>
      </c>
      <c r="L16" s="6" t="s">
        <v>40</v>
      </c>
      <c r="M16" s="6" t="s">
        <v>41</v>
      </c>
      <c r="N16" s="6" t="s">
        <v>62</v>
      </c>
      <c r="O16" s="6" t="s">
        <v>71</v>
      </c>
      <c r="P16" s="8" t="s">
        <v>72</v>
      </c>
      <c r="Q16" s="1" t="s">
        <v>33</v>
      </c>
    </row>
    <row r="17" spans="2:17" ht="33.75" x14ac:dyDescent="0.2">
      <c r="B17" s="6" t="s">
        <v>73</v>
      </c>
      <c r="C17" s="6" t="s">
        <v>74</v>
      </c>
      <c r="D17" s="6" t="s">
        <v>36</v>
      </c>
      <c r="E17" s="6" t="s">
        <v>37</v>
      </c>
      <c r="F17" s="6" t="s">
        <v>69</v>
      </c>
      <c r="G17" s="7" t="str">
        <f>HYPERLINK("https://www.google.com.au/maps/place/31° 5.028' S+150° 50.802' E","31° 5.028' S")</f>
        <v>31° 5.028' S</v>
      </c>
      <c r="H17" s="7" t="str">
        <f>HYPERLINK("https://www.google.com.au/maps/place/31° 5.028' S+150° 50.802' E","150° 50.802' E")</f>
        <v>150° 50.802' E</v>
      </c>
      <c r="I17" s="6" t="s">
        <v>25</v>
      </c>
      <c r="J17" s="6" t="s">
        <v>38</v>
      </c>
      <c r="K17" s="6" t="s">
        <v>39</v>
      </c>
      <c r="L17" s="6" t="s">
        <v>40</v>
      </c>
      <c r="M17" s="6" t="s">
        <v>41</v>
      </c>
      <c r="N17" s="6" t="s">
        <v>62</v>
      </c>
      <c r="O17" s="6" t="s">
        <v>71</v>
      </c>
      <c r="P17" s="8" t="s">
        <v>75</v>
      </c>
      <c r="Q17" s="1" t="s">
        <v>33</v>
      </c>
    </row>
    <row r="18" spans="2:17" ht="33.75" x14ac:dyDescent="0.2">
      <c r="B18" s="6" t="s">
        <v>76</v>
      </c>
      <c r="C18" s="6" t="s">
        <v>77</v>
      </c>
      <c r="D18" s="6" t="s">
        <v>36</v>
      </c>
      <c r="E18" s="6" t="s">
        <v>37</v>
      </c>
      <c r="F18" s="6" t="s">
        <v>24</v>
      </c>
      <c r="G18" s="7" t="str">
        <f>HYPERLINK("https://www.google.com.au/maps/place/33° 56.772' S+151° 10.632' E","33° 56.772' S")</f>
        <v>33° 56.772' S</v>
      </c>
      <c r="H18" s="7" t="str">
        <f>HYPERLINK("https://www.google.com.au/maps/place/33° 56.772' S+151° 10.632' E","151° 10.632' E")</f>
        <v>151° 10.632' E</v>
      </c>
      <c r="I18" s="6" t="s">
        <v>25</v>
      </c>
      <c r="J18" s="6" t="s">
        <v>38</v>
      </c>
      <c r="K18" s="6" t="s">
        <v>39</v>
      </c>
      <c r="L18" s="6" t="s">
        <v>40</v>
      </c>
      <c r="M18" s="6" t="s">
        <v>41</v>
      </c>
      <c r="N18" s="6" t="s">
        <v>62</v>
      </c>
      <c r="O18" s="6" t="s">
        <v>43</v>
      </c>
      <c r="P18" s="8" t="s">
        <v>78</v>
      </c>
      <c r="Q18" s="1" t="s">
        <v>33</v>
      </c>
    </row>
    <row r="19" spans="2:17" ht="33.75" x14ac:dyDescent="0.2">
      <c r="B19" s="6" t="s">
        <v>79</v>
      </c>
      <c r="C19" s="6" t="s">
        <v>80</v>
      </c>
      <c r="D19" s="6" t="s">
        <v>36</v>
      </c>
      <c r="E19" s="6" t="s">
        <v>37</v>
      </c>
      <c r="F19" s="6" t="s">
        <v>60</v>
      </c>
      <c r="G19" s="7" t="str">
        <f>HYPERLINK("https://www.google.com.au/maps/place/35° 18.42' S+149° 11.7' E","35° 18.42' S")</f>
        <v>35° 18.42' S</v>
      </c>
      <c r="H19" s="7" t="str">
        <f>HYPERLINK("https://www.google.com.au/maps/place/35° 18.42' S+149° 11.7' E","149° 11.7' E")</f>
        <v>149° 11.7' E</v>
      </c>
      <c r="I19" s="6" t="s">
        <v>61</v>
      </c>
      <c r="J19" s="6" t="s">
        <v>38</v>
      </c>
      <c r="K19" s="6" t="s">
        <v>39</v>
      </c>
      <c r="L19" s="6" t="s">
        <v>40</v>
      </c>
      <c r="M19" s="6" t="s">
        <v>41</v>
      </c>
      <c r="N19" s="6" t="s">
        <v>62</v>
      </c>
      <c r="O19" s="6" t="s">
        <v>43</v>
      </c>
      <c r="P19" s="8" t="s">
        <v>81</v>
      </c>
      <c r="Q19" s="1" t="s">
        <v>33</v>
      </c>
    </row>
    <row r="20" spans="2:17" ht="67.5" x14ac:dyDescent="0.2">
      <c r="B20" s="6" t="s">
        <v>82</v>
      </c>
      <c r="C20" s="6" t="s">
        <v>83</v>
      </c>
      <c r="D20" s="6" t="s">
        <v>36</v>
      </c>
      <c r="E20" s="6" t="s">
        <v>37</v>
      </c>
      <c r="F20" s="6" t="s">
        <v>84</v>
      </c>
      <c r="G20" s="7" t="str">
        <f>HYPERLINK("https://www.google.com.au/maps/place/34° 5.67' S+151° 12.33' E","34° 5.67' S")</f>
        <v>34° 5.67' S</v>
      </c>
      <c r="H20" s="7" t="str">
        <f>HYPERLINK("https://www.google.com.au/maps/place/34° 5.67' S+151° 12.33' E","151° 12.33' E")</f>
        <v>151° 12.33' E</v>
      </c>
      <c r="I20" s="6" t="s">
        <v>25</v>
      </c>
      <c r="J20" s="6" t="s">
        <v>26</v>
      </c>
      <c r="K20" s="6" t="s">
        <v>85</v>
      </c>
      <c r="L20" s="6" t="s">
        <v>28</v>
      </c>
      <c r="M20" s="6" t="s">
        <v>29</v>
      </c>
      <c r="N20" s="6" t="s">
        <v>86</v>
      </c>
      <c r="O20" s="6" t="s">
        <v>31</v>
      </c>
      <c r="P20" s="8" t="s">
        <v>87</v>
      </c>
      <c r="Q20" s="1" t="s">
        <v>33</v>
      </c>
    </row>
    <row r="21" spans="2:17" ht="56.25" x14ac:dyDescent="0.2">
      <c r="B21" s="6" t="s">
        <v>88</v>
      </c>
      <c r="C21" s="6" t="s">
        <v>89</v>
      </c>
      <c r="D21" s="6" t="s">
        <v>23</v>
      </c>
      <c r="E21" s="7" t="str">
        <f>HYPERLINK("http://www.atsb.gov.au/publications/investigation_reports/2019/aair/AO-2019-066.aspx","AO-2019-066")</f>
        <v>AO-2019-066</v>
      </c>
      <c r="F21" s="6" t="s">
        <v>90</v>
      </c>
      <c r="G21" s="7" t="str">
        <f>HYPERLINK("https://www.google.com.au/maps/place/36° 4.068' S+146° 57.48' E","36° 4.068' S")</f>
        <v>36° 4.068' S</v>
      </c>
      <c r="H21" s="7" t="str">
        <f>HYPERLINK("https://www.google.com.au/maps/place/36° 4.068' S+146° 57.48' E","146° 57.48' E")</f>
        <v>146° 57.48' E</v>
      </c>
      <c r="I21" s="6" t="s">
        <v>25</v>
      </c>
      <c r="J21" s="6" t="s">
        <v>91</v>
      </c>
      <c r="K21" s="6" t="s">
        <v>92</v>
      </c>
      <c r="L21" s="6" t="s">
        <v>53</v>
      </c>
      <c r="M21" s="6" t="s">
        <v>93</v>
      </c>
      <c r="N21" s="6" t="s">
        <v>30</v>
      </c>
      <c r="O21" s="6" t="s">
        <v>94</v>
      </c>
      <c r="P21" s="8" t="s">
        <v>95</v>
      </c>
      <c r="Q21" s="1" t="s">
        <v>33</v>
      </c>
    </row>
    <row r="22" spans="2:17" ht="33.75" x14ac:dyDescent="0.2">
      <c r="B22" s="6" t="s">
        <v>96</v>
      </c>
      <c r="C22" s="6" t="s">
        <v>97</v>
      </c>
      <c r="D22" s="6" t="s">
        <v>36</v>
      </c>
      <c r="E22" s="6" t="s">
        <v>37</v>
      </c>
      <c r="F22" s="6" t="s">
        <v>60</v>
      </c>
      <c r="G22" s="7" t="str">
        <f>HYPERLINK("https://www.google.com.au/maps/place/35° 18.42' S+149° 11.7' E","35° 18.42' S")</f>
        <v>35° 18.42' S</v>
      </c>
      <c r="H22" s="7" t="str">
        <f>HYPERLINK("https://www.google.com.au/maps/place/35° 18.42' S+149° 11.7' E","149° 11.7' E")</f>
        <v>149° 11.7' E</v>
      </c>
      <c r="I22" s="6" t="s">
        <v>61</v>
      </c>
      <c r="J22" s="6" t="s">
        <v>38</v>
      </c>
      <c r="K22" s="6" t="s">
        <v>39</v>
      </c>
      <c r="L22" s="6" t="s">
        <v>40</v>
      </c>
      <c r="M22" s="6" t="s">
        <v>41</v>
      </c>
      <c r="N22" s="6" t="s">
        <v>62</v>
      </c>
      <c r="O22" s="6" t="s">
        <v>43</v>
      </c>
      <c r="P22" s="8" t="s">
        <v>78</v>
      </c>
      <c r="Q22" s="1" t="s">
        <v>33</v>
      </c>
    </row>
    <row r="23" spans="2:17" ht="33.75" x14ac:dyDescent="0.2">
      <c r="B23" s="6" t="s">
        <v>98</v>
      </c>
      <c r="C23" s="6" t="s">
        <v>99</v>
      </c>
      <c r="D23" s="6" t="s">
        <v>36</v>
      </c>
      <c r="E23" s="6" t="s">
        <v>37</v>
      </c>
      <c r="F23" s="6" t="s">
        <v>100</v>
      </c>
      <c r="G23" s="7" t="str">
        <f>HYPERLINK("https://www.google.com.au/maps/place/22° 48.15' S+148° 42.282' E","22° 48.15' S")</f>
        <v>22° 48.15' S</v>
      </c>
      <c r="H23" s="7" t="str">
        <f>HYPERLINK("https://www.google.com.au/maps/place/22° 48.15' S+148° 42.282' E","148° 42.282' E")</f>
        <v>148° 42.282' E</v>
      </c>
      <c r="I23" s="6" t="s">
        <v>101</v>
      </c>
      <c r="J23" s="6" t="s">
        <v>38</v>
      </c>
      <c r="K23" s="6" t="s">
        <v>39</v>
      </c>
      <c r="L23" s="6" t="s">
        <v>40</v>
      </c>
      <c r="M23" s="6" t="s">
        <v>41</v>
      </c>
      <c r="N23" s="6" t="s">
        <v>102</v>
      </c>
      <c r="O23" s="6" t="s">
        <v>103</v>
      </c>
      <c r="P23" s="8" t="s">
        <v>104</v>
      </c>
      <c r="Q23" s="1" t="s">
        <v>33</v>
      </c>
    </row>
    <row r="24" spans="2:17" ht="45" x14ac:dyDescent="0.2">
      <c r="B24" s="6" t="s">
        <v>105</v>
      </c>
      <c r="C24" s="6" t="s">
        <v>106</v>
      </c>
      <c r="D24" s="6" t="s">
        <v>36</v>
      </c>
      <c r="E24" s="7" t="str">
        <f>HYPERLINK("http://www.atsb.gov.au/publications/investigation_reports/2019/aair/AO-2019-055.aspx","AO-2019-055")</f>
        <v>AO-2019-055</v>
      </c>
      <c r="F24" s="6" t="s">
        <v>60</v>
      </c>
      <c r="G24" s="7" t="str">
        <f>HYPERLINK("https://www.google.com.au/maps/place/35° 18.42' S+149° 11.7' E","35° 18.42' S")</f>
        <v>35° 18.42' S</v>
      </c>
      <c r="H24" s="7" t="str">
        <f>HYPERLINK("https://www.google.com.au/maps/place/35° 18.42' S+149° 11.7' E","149° 11.7' E")</f>
        <v>149° 11.7' E</v>
      </c>
      <c r="I24" s="6" t="s">
        <v>61</v>
      </c>
      <c r="J24" s="6" t="s">
        <v>38</v>
      </c>
      <c r="K24" s="6" t="s">
        <v>39</v>
      </c>
      <c r="L24" s="6" t="s">
        <v>40</v>
      </c>
      <c r="M24" s="6" t="s">
        <v>41</v>
      </c>
      <c r="N24" s="6" t="s">
        <v>62</v>
      </c>
      <c r="O24" s="6" t="s">
        <v>43</v>
      </c>
      <c r="P24" s="8" t="s">
        <v>107</v>
      </c>
      <c r="Q24" s="1" t="s">
        <v>33</v>
      </c>
    </row>
    <row r="25" spans="2:17" ht="33.75" x14ac:dyDescent="0.2">
      <c r="B25" s="6" t="s">
        <v>108</v>
      </c>
      <c r="C25" s="6" t="s">
        <v>109</v>
      </c>
      <c r="D25" s="6" t="s">
        <v>36</v>
      </c>
      <c r="E25" s="6" t="s">
        <v>37</v>
      </c>
      <c r="F25" s="6" t="s">
        <v>24</v>
      </c>
      <c r="G25" s="7" t="str">
        <f>HYPERLINK("https://www.google.com.au/maps/place/33° 56.772' S+151° 10.632' E","33° 56.772' S")</f>
        <v>33° 56.772' S</v>
      </c>
      <c r="H25" s="7" t="str">
        <f>HYPERLINK("https://www.google.com.au/maps/place/33° 56.772' S+151° 10.632' E","151° 10.632' E")</f>
        <v>151° 10.632' E</v>
      </c>
      <c r="I25" s="6" t="s">
        <v>25</v>
      </c>
      <c r="J25" s="6" t="s">
        <v>38</v>
      </c>
      <c r="K25" s="6" t="s">
        <v>39</v>
      </c>
      <c r="L25" s="6" t="s">
        <v>40</v>
      </c>
      <c r="M25" s="6" t="s">
        <v>41</v>
      </c>
      <c r="N25" s="6" t="s">
        <v>62</v>
      </c>
      <c r="O25" s="6" t="s">
        <v>43</v>
      </c>
      <c r="P25" s="8" t="s">
        <v>110</v>
      </c>
      <c r="Q25" s="1" t="s">
        <v>33</v>
      </c>
    </row>
    <row r="26" spans="2:17" ht="33.75" x14ac:dyDescent="0.2">
      <c r="B26" s="6" t="s">
        <v>111</v>
      </c>
      <c r="C26" s="6" t="s">
        <v>112</v>
      </c>
      <c r="D26" s="6" t="s">
        <v>36</v>
      </c>
      <c r="E26" s="6" t="s">
        <v>37</v>
      </c>
      <c r="F26" s="6" t="s">
        <v>113</v>
      </c>
      <c r="G26" s="7" t="str">
        <f>HYPERLINK("https://www.google.com.au/maps/place/34° 3.678' S+150° 54.618' E","34° 3.678' S")</f>
        <v>34° 3.678' S</v>
      </c>
      <c r="H26" s="7" t="str">
        <f>HYPERLINK("https://www.google.com.au/maps/place/34° 3.678' S+150° 54.618' E","150° 54.618' E")</f>
        <v>150° 54.618' E</v>
      </c>
      <c r="I26" s="6" t="s">
        <v>25</v>
      </c>
      <c r="J26" s="6" t="s">
        <v>38</v>
      </c>
      <c r="K26" s="6" t="s">
        <v>39</v>
      </c>
      <c r="L26" s="6" t="s">
        <v>40</v>
      </c>
      <c r="M26" s="6" t="s">
        <v>41</v>
      </c>
      <c r="N26" s="6" t="s">
        <v>42</v>
      </c>
      <c r="O26" s="6" t="s">
        <v>43</v>
      </c>
      <c r="P26" s="8" t="s">
        <v>114</v>
      </c>
      <c r="Q26" s="1" t="s">
        <v>33</v>
      </c>
    </row>
    <row r="27" spans="2:17" ht="67.5" x14ac:dyDescent="0.2">
      <c r="B27" s="6" t="s">
        <v>115</v>
      </c>
      <c r="C27" s="6" t="s">
        <v>116</v>
      </c>
      <c r="D27" s="6" t="s">
        <v>36</v>
      </c>
      <c r="E27" s="6" t="s">
        <v>37</v>
      </c>
      <c r="F27" s="6" t="s">
        <v>117</v>
      </c>
      <c r="G27" s="7" t="str">
        <f>HYPERLINK("https://www.google.com.au/maps/place/33° 56.772' S+151° 10.632' E","33° 56.772' S")</f>
        <v>33° 56.772' S</v>
      </c>
      <c r="H27" s="7" t="str">
        <f>HYPERLINK("https://www.google.com.au/maps/place/33° 56.772' S+151° 10.632' E","151° 10.632' E")</f>
        <v>151° 10.632' E</v>
      </c>
      <c r="I27" s="6" t="s">
        <v>25</v>
      </c>
      <c r="J27" s="6" t="s">
        <v>26</v>
      </c>
      <c r="K27" s="6" t="s">
        <v>27</v>
      </c>
      <c r="L27" s="6" t="s">
        <v>118</v>
      </c>
      <c r="M27" s="6" t="s">
        <v>29</v>
      </c>
      <c r="N27" s="6" t="s">
        <v>86</v>
      </c>
      <c r="O27" s="6" t="s">
        <v>31</v>
      </c>
      <c r="P27" s="8" t="s">
        <v>119</v>
      </c>
      <c r="Q27" s="1" t="s">
        <v>33</v>
      </c>
    </row>
    <row r="28" spans="2:17" ht="33.75" x14ac:dyDescent="0.2">
      <c r="B28" s="6" t="s">
        <v>120</v>
      </c>
      <c r="C28" s="6" t="s">
        <v>121</v>
      </c>
      <c r="D28" s="6" t="s">
        <v>36</v>
      </c>
      <c r="E28" s="6" t="s">
        <v>37</v>
      </c>
      <c r="F28" s="6" t="s">
        <v>117</v>
      </c>
      <c r="G28" s="7" t="str">
        <f>HYPERLINK("https://www.google.com.au/maps/place/33° 56.772' S+151° 10.632' E","33° 56.772' S")</f>
        <v>33° 56.772' S</v>
      </c>
      <c r="H28" s="7" t="str">
        <f>HYPERLINK("https://www.google.com.au/maps/place/33° 56.772' S+151° 10.632' E","151° 10.632' E")</f>
        <v>151° 10.632' E</v>
      </c>
      <c r="I28" s="6" t="s">
        <v>25</v>
      </c>
      <c r="J28" s="6" t="s">
        <v>38</v>
      </c>
      <c r="K28" s="6" t="s">
        <v>39</v>
      </c>
      <c r="L28" s="6" t="s">
        <v>40</v>
      </c>
      <c r="M28" s="6" t="s">
        <v>41</v>
      </c>
      <c r="N28" s="6" t="s">
        <v>62</v>
      </c>
      <c r="O28" s="6" t="s">
        <v>43</v>
      </c>
      <c r="P28" s="8" t="s">
        <v>122</v>
      </c>
      <c r="Q28" s="1" t="s">
        <v>33</v>
      </c>
    </row>
    <row r="29" spans="2:17" ht="67.5" x14ac:dyDescent="0.2">
      <c r="B29" s="6" t="s">
        <v>123</v>
      </c>
      <c r="C29" s="6" t="s">
        <v>124</v>
      </c>
      <c r="D29" s="6" t="s">
        <v>23</v>
      </c>
      <c r="E29" s="6" t="s">
        <v>37</v>
      </c>
      <c r="F29" s="6" t="s">
        <v>90</v>
      </c>
      <c r="G29" s="7" t="str">
        <f>HYPERLINK("https://www.google.com.au/maps/place/36° 4.068' S+146° 57.48' E","36° 4.068' S")</f>
        <v>36° 4.068' S</v>
      </c>
      <c r="H29" s="7" t="str">
        <f>HYPERLINK("https://www.google.com.au/maps/place/36° 4.068' S+146° 57.48' E","146° 57.48' E")</f>
        <v>146° 57.48' E</v>
      </c>
      <c r="I29" s="6" t="s">
        <v>25</v>
      </c>
      <c r="J29" s="6" t="s">
        <v>125</v>
      </c>
      <c r="K29" s="6" t="s">
        <v>126</v>
      </c>
      <c r="L29" s="6" t="s">
        <v>127</v>
      </c>
      <c r="M29" s="6" t="s">
        <v>54</v>
      </c>
      <c r="N29" s="6" t="s">
        <v>128</v>
      </c>
      <c r="O29" s="6" t="s">
        <v>94</v>
      </c>
      <c r="P29" s="8" t="s">
        <v>129</v>
      </c>
      <c r="Q29" s="1" t="s">
        <v>33</v>
      </c>
    </row>
    <row r="30" spans="2:17" ht="33.75" x14ac:dyDescent="0.2">
      <c r="B30" s="6" t="s">
        <v>130</v>
      </c>
      <c r="C30" s="6" t="s">
        <v>131</v>
      </c>
      <c r="D30" s="6" t="s">
        <v>36</v>
      </c>
      <c r="E30" s="6" t="s">
        <v>37</v>
      </c>
      <c r="F30" s="6" t="s">
        <v>132</v>
      </c>
      <c r="G30" s="7" t="str">
        <f>HYPERLINK("https://www.google.com.au/maps/place/37° 40.398' S+144° 50.598' E","37° 40.398' S")</f>
        <v>37° 40.398' S</v>
      </c>
      <c r="H30" s="7" t="str">
        <f>HYPERLINK("https://www.google.com.au/maps/place/37° 40.398' S+144° 50.598' E","144° 50.598' E")</f>
        <v>144° 50.598' E</v>
      </c>
      <c r="I30" s="6" t="s">
        <v>133</v>
      </c>
      <c r="J30" s="6" t="s">
        <v>38</v>
      </c>
      <c r="K30" s="6" t="s">
        <v>39</v>
      </c>
      <c r="L30" s="6" t="s">
        <v>40</v>
      </c>
      <c r="M30" s="6" t="s">
        <v>41</v>
      </c>
      <c r="N30" s="6" t="s">
        <v>42</v>
      </c>
      <c r="O30" s="6" t="s">
        <v>43</v>
      </c>
      <c r="P30" s="8" t="s">
        <v>134</v>
      </c>
      <c r="Q30" s="1" t="s">
        <v>33</v>
      </c>
    </row>
    <row r="31" spans="2:17" ht="56.25" x14ac:dyDescent="0.2">
      <c r="B31" s="6" t="s">
        <v>135</v>
      </c>
      <c r="C31" s="6" t="s">
        <v>136</v>
      </c>
      <c r="D31" s="6" t="s">
        <v>36</v>
      </c>
      <c r="E31" s="6" t="s">
        <v>37</v>
      </c>
      <c r="F31" s="6" t="s">
        <v>24</v>
      </c>
      <c r="G31" s="7" t="str">
        <f>HYPERLINK("https://www.google.com.au/maps/place/33° 56.772' S+151° 10.632' E","33° 56.772' S")</f>
        <v>33° 56.772' S</v>
      </c>
      <c r="H31" s="7" t="str">
        <f>HYPERLINK("https://www.google.com.au/maps/place/33° 56.772' S+151° 10.632' E","151° 10.632' E")</f>
        <v>151° 10.632' E</v>
      </c>
      <c r="I31" s="6" t="s">
        <v>25</v>
      </c>
      <c r="J31" s="6" t="s">
        <v>137</v>
      </c>
      <c r="K31" s="6" t="s">
        <v>138</v>
      </c>
      <c r="L31" s="6" t="s">
        <v>28</v>
      </c>
      <c r="M31" s="6" t="s">
        <v>29</v>
      </c>
      <c r="N31" s="6" t="s">
        <v>128</v>
      </c>
      <c r="O31" s="6" t="s">
        <v>31</v>
      </c>
      <c r="P31" s="8" t="s">
        <v>139</v>
      </c>
      <c r="Q31" s="1" t="s">
        <v>33</v>
      </c>
    </row>
    <row r="32" spans="2:17" ht="67.5" x14ac:dyDescent="0.2">
      <c r="B32" s="6" t="s">
        <v>140</v>
      </c>
      <c r="C32" s="6" t="s">
        <v>141</v>
      </c>
      <c r="D32" s="6" t="s">
        <v>36</v>
      </c>
      <c r="E32" s="6" t="s">
        <v>37</v>
      </c>
      <c r="F32" s="6" t="s">
        <v>142</v>
      </c>
      <c r="G32" s="7" t="str">
        <f>HYPERLINK("https://www.google.com.au/maps/place/32° 47.7' S+151° 50.07' E","32° 47.7' S")</f>
        <v>32° 47.7' S</v>
      </c>
      <c r="H32" s="7" t="str">
        <f>HYPERLINK("https://www.google.com.au/maps/place/32° 47.7' S+151° 50.07' E","151° 50.07' E")</f>
        <v>151° 50.07' E</v>
      </c>
      <c r="I32" s="6" t="s">
        <v>25</v>
      </c>
      <c r="J32" s="6" t="s">
        <v>143</v>
      </c>
      <c r="K32" s="6" t="s">
        <v>144</v>
      </c>
      <c r="L32" s="6" t="s">
        <v>145</v>
      </c>
      <c r="M32" s="6" t="s">
        <v>146</v>
      </c>
      <c r="N32" s="6" t="s">
        <v>86</v>
      </c>
      <c r="O32" s="6" t="s">
        <v>31</v>
      </c>
      <c r="P32" s="8" t="s">
        <v>147</v>
      </c>
      <c r="Q32" s="1" t="s">
        <v>33</v>
      </c>
    </row>
    <row r="33" spans="2:17" ht="33.75" x14ac:dyDescent="0.2">
      <c r="B33" s="6" t="s">
        <v>148</v>
      </c>
      <c r="C33" s="6" t="s">
        <v>149</v>
      </c>
      <c r="D33" s="6" t="s">
        <v>36</v>
      </c>
      <c r="E33" s="6" t="s">
        <v>37</v>
      </c>
      <c r="F33" s="6" t="s">
        <v>90</v>
      </c>
      <c r="G33" s="7" t="str">
        <f>HYPERLINK("https://www.google.com.au/maps/place/36° 4.068' S+146° 57.48' E","36° 4.068' S")</f>
        <v>36° 4.068' S</v>
      </c>
      <c r="H33" s="7" t="str">
        <f>HYPERLINK("https://www.google.com.au/maps/place/36° 4.068' S+146° 57.48' E","146° 57.48' E")</f>
        <v>146° 57.48' E</v>
      </c>
      <c r="I33" s="6" t="s">
        <v>25</v>
      </c>
      <c r="J33" s="6" t="s">
        <v>38</v>
      </c>
      <c r="K33" s="6" t="s">
        <v>39</v>
      </c>
      <c r="L33" s="6" t="s">
        <v>40</v>
      </c>
      <c r="M33" s="6" t="s">
        <v>41</v>
      </c>
      <c r="N33" s="6" t="s">
        <v>62</v>
      </c>
      <c r="O33" s="6" t="s">
        <v>71</v>
      </c>
      <c r="P33" s="8" t="s">
        <v>150</v>
      </c>
      <c r="Q33" s="1" t="s">
        <v>33</v>
      </c>
    </row>
    <row r="34" spans="2:17" ht="33.75" x14ac:dyDescent="0.2">
      <c r="B34" s="6" t="s">
        <v>151</v>
      </c>
      <c r="C34" s="6" t="s">
        <v>152</v>
      </c>
      <c r="D34" s="6" t="s">
        <v>36</v>
      </c>
      <c r="E34" s="6" t="s">
        <v>37</v>
      </c>
      <c r="F34" s="6" t="s">
        <v>24</v>
      </c>
      <c r="G34" s="7" t="str">
        <f>HYPERLINK("https://www.google.com.au/maps/place/33° 56.772' S+151° 10.632' E","33° 56.772' S")</f>
        <v>33° 56.772' S</v>
      </c>
      <c r="H34" s="7" t="str">
        <f>HYPERLINK("https://www.google.com.au/maps/place/33° 56.772' S+151° 10.632' E","151° 10.632' E")</f>
        <v>151° 10.632' E</v>
      </c>
      <c r="I34" s="6" t="s">
        <v>25</v>
      </c>
      <c r="J34" s="6" t="s">
        <v>38</v>
      </c>
      <c r="K34" s="6" t="s">
        <v>39</v>
      </c>
      <c r="L34" s="6" t="s">
        <v>40</v>
      </c>
      <c r="M34" s="6" t="s">
        <v>41</v>
      </c>
      <c r="N34" s="6" t="s">
        <v>62</v>
      </c>
      <c r="O34" s="6" t="s">
        <v>43</v>
      </c>
      <c r="P34" s="8" t="s">
        <v>153</v>
      </c>
      <c r="Q34" s="1" t="s">
        <v>33</v>
      </c>
    </row>
    <row r="35" spans="2:17" ht="67.5" x14ac:dyDescent="0.2">
      <c r="B35" s="6" t="s">
        <v>154</v>
      </c>
      <c r="C35" s="6" t="s">
        <v>155</v>
      </c>
      <c r="D35" s="6" t="s">
        <v>36</v>
      </c>
      <c r="E35" s="6" t="s">
        <v>37</v>
      </c>
      <c r="F35" s="6" t="s">
        <v>24</v>
      </c>
      <c r="G35" s="7" t="str">
        <f>HYPERLINK("https://www.google.com.au/maps/place/33° 56.772' S+151° 10.632' E","33° 56.772' S")</f>
        <v>33° 56.772' S</v>
      </c>
      <c r="H35" s="7" t="str">
        <f>HYPERLINK("https://www.google.com.au/maps/place/33° 56.772' S+151° 10.632' E","151° 10.632' E")</f>
        <v>151° 10.632' E</v>
      </c>
      <c r="I35" s="6" t="s">
        <v>25</v>
      </c>
      <c r="J35" s="6" t="s">
        <v>26</v>
      </c>
      <c r="K35" s="6" t="s">
        <v>85</v>
      </c>
      <c r="L35" s="6" t="s">
        <v>28</v>
      </c>
      <c r="M35" s="6" t="s">
        <v>29</v>
      </c>
      <c r="N35" s="6" t="s">
        <v>86</v>
      </c>
      <c r="O35" s="6" t="s">
        <v>31</v>
      </c>
      <c r="P35" s="8" t="s">
        <v>156</v>
      </c>
      <c r="Q35" s="1" t="s">
        <v>33</v>
      </c>
    </row>
    <row r="36" spans="2:17" ht="33.75" x14ac:dyDescent="0.2">
      <c r="B36" s="6" t="s">
        <v>157</v>
      </c>
      <c r="C36" s="6" t="s">
        <v>158</v>
      </c>
      <c r="D36" s="6" t="s">
        <v>36</v>
      </c>
      <c r="E36" s="6" t="s">
        <v>37</v>
      </c>
      <c r="F36" s="6" t="s">
        <v>60</v>
      </c>
      <c r="G36" s="7" t="str">
        <f>HYPERLINK("https://www.google.com.au/maps/place/35° 18.42' S+149° 11.7' E","35° 18.42' S")</f>
        <v>35° 18.42' S</v>
      </c>
      <c r="H36" s="7" t="str">
        <f>HYPERLINK("https://www.google.com.au/maps/place/35° 18.42' S+149° 11.7' E","149° 11.7' E")</f>
        <v>149° 11.7' E</v>
      </c>
      <c r="I36" s="6" t="s">
        <v>61</v>
      </c>
      <c r="J36" s="6" t="s">
        <v>38</v>
      </c>
      <c r="K36" s="6" t="s">
        <v>39</v>
      </c>
      <c r="L36" s="6" t="s">
        <v>40</v>
      </c>
      <c r="M36" s="6" t="s">
        <v>41</v>
      </c>
      <c r="N36" s="6" t="s">
        <v>62</v>
      </c>
      <c r="O36" s="6" t="s">
        <v>43</v>
      </c>
      <c r="P36" s="8" t="s">
        <v>159</v>
      </c>
      <c r="Q36" s="1" t="s">
        <v>33</v>
      </c>
    </row>
    <row r="37" spans="2:17" ht="33.75" x14ac:dyDescent="0.2">
      <c r="B37" s="6" t="s">
        <v>160</v>
      </c>
      <c r="C37" s="6" t="s">
        <v>161</v>
      </c>
      <c r="D37" s="6" t="s">
        <v>36</v>
      </c>
      <c r="E37" s="6" t="s">
        <v>37</v>
      </c>
      <c r="F37" s="6" t="s">
        <v>162</v>
      </c>
      <c r="G37" s="7" t="str">
        <f>HYPERLINK("https://www.google.com.au/maps/place/34° 19.98' S+150° 51' E","34° 19.98' S")</f>
        <v>34° 19.98' S</v>
      </c>
      <c r="H37" s="7" t="str">
        <f>HYPERLINK("https://www.google.com.au/maps/place/34° 19.98' S+150° 51' E","150° 51' E")</f>
        <v>150° 51' E</v>
      </c>
      <c r="I37" s="6" t="s">
        <v>25</v>
      </c>
      <c r="J37" s="6" t="s">
        <v>38</v>
      </c>
      <c r="K37" s="6" t="s">
        <v>39</v>
      </c>
      <c r="L37" s="6" t="s">
        <v>40</v>
      </c>
      <c r="M37" s="6" t="s">
        <v>41</v>
      </c>
      <c r="N37" s="6" t="s">
        <v>42</v>
      </c>
      <c r="O37" s="6" t="s">
        <v>43</v>
      </c>
      <c r="P37" s="8" t="s">
        <v>163</v>
      </c>
      <c r="Q37" s="1" t="s">
        <v>33</v>
      </c>
    </row>
    <row r="38" spans="2:17" ht="56.25" x14ac:dyDescent="0.2">
      <c r="B38" s="6" t="s">
        <v>164</v>
      </c>
      <c r="C38" s="6" t="s">
        <v>165</v>
      </c>
      <c r="D38" s="6" t="s">
        <v>36</v>
      </c>
      <c r="E38" s="6" t="s">
        <v>37</v>
      </c>
      <c r="F38" s="6" t="s">
        <v>24</v>
      </c>
      <c r="G38" s="7" t="str">
        <f>HYPERLINK("https://www.google.com.au/maps/place/33° 56.772' S+151° 10.632' E","33° 56.772' S")</f>
        <v>33° 56.772' S</v>
      </c>
      <c r="H38" s="7" t="str">
        <f>HYPERLINK("https://www.google.com.au/maps/place/33° 56.772' S+151° 10.632' E","151° 10.632' E")</f>
        <v>151° 10.632' E</v>
      </c>
      <c r="I38" s="6" t="s">
        <v>25</v>
      </c>
      <c r="J38" s="6" t="s">
        <v>137</v>
      </c>
      <c r="K38" s="6" t="s">
        <v>166</v>
      </c>
      <c r="L38" s="6" t="s">
        <v>28</v>
      </c>
      <c r="M38" s="6" t="s">
        <v>29</v>
      </c>
      <c r="N38" s="6" t="s">
        <v>86</v>
      </c>
      <c r="O38" s="6" t="s">
        <v>31</v>
      </c>
      <c r="P38" s="8" t="s">
        <v>167</v>
      </c>
      <c r="Q38" s="1" t="s">
        <v>33</v>
      </c>
    </row>
    <row r="39" spans="2:17" ht="33.75" x14ac:dyDescent="0.2">
      <c r="B39" s="6" t="s">
        <v>168</v>
      </c>
      <c r="C39" s="6" t="s">
        <v>169</v>
      </c>
      <c r="D39" s="6" t="s">
        <v>36</v>
      </c>
      <c r="E39" s="6" t="s">
        <v>37</v>
      </c>
      <c r="F39" s="6" t="s">
        <v>69</v>
      </c>
      <c r="G39" s="7" t="str">
        <f>HYPERLINK("https://www.google.com.au/maps/place/31° 5.028' S+150° 50.802' E","31° 5.028' S")</f>
        <v>31° 5.028' S</v>
      </c>
      <c r="H39" s="7" t="str">
        <f>HYPERLINK("https://www.google.com.au/maps/place/31° 5.028' S+150° 50.802' E","150° 50.802' E")</f>
        <v>150° 50.802' E</v>
      </c>
      <c r="I39" s="6" t="s">
        <v>25</v>
      </c>
      <c r="J39" s="6" t="s">
        <v>38</v>
      </c>
      <c r="K39" s="6" t="s">
        <v>39</v>
      </c>
      <c r="L39" s="6" t="s">
        <v>40</v>
      </c>
      <c r="M39" s="6" t="s">
        <v>41</v>
      </c>
      <c r="N39" s="6" t="s">
        <v>62</v>
      </c>
      <c r="O39" s="6" t="s">
        <v>71</v>
      </c>
      <c r="P39" s="8" t="s">
        <v>170</v>
      </c>
      <c r="Q39" s="1" t="s">
        <v>33</v>
      </c>
    </row>
    <row r="40" spans="2:17" ht="33.75" x14ac:dyDescent="0.2">
      <c r="B40" s="6" t="s">
        <v>171</v>
      </c>
      <c r="C40" s="6" t="s">
        <v>172</v>
      </c>
      <c r="D40" s="6" t="s">
        <v>36</v>
      </c>
      <c r="E40" s="6" t="s">
        <v>37</v>
      </c>
      <c r="F40" s="6" t="s">
        <v>90</v>
      </c>
      <c r="G40" s="7" t="str">
        <f>HYPERLINK("https://www.google.com.au/maps/place/36° 4.068' S+146° 57.48' E","36° 4.068' S")</f>
        <v>36° 4.068' S</v>
      </c>
      <c r="H40" s="7" t="str">
        <f>HYPERLINK("https://www.google.com.au/maps/place/36° 4.068' S+146° 57.48' E","146° 57.48' E")</f>
        <v>146° 57.48' E</v>
      </c>
      <c r="I40" s="6" t="s">
        <v>25</v>
      </c>
      <c r="J40" s="6" t="s">
        <v>38</v>
      </c>
      <c r="K40" s="6" t="s">
        <v>39</v>
      </c>
      <c r="L40" s="6" t="s">
        <v>40</v>
      </c>
      <c r="M40" s="6" t="s">
        <v>41</v>
      </c>
      <c r="N40" s="6" t="s">
        <v>62</v>
      </c>
      <c r="O40" s="6" t="s">
        <v>71</v>
      </c>
      <c r="P40" s="8" t="s">
        <v>173</v>
      </c>
      <c r="Q40" s="1" t="s">
        <v>33</v>
      </c>
    </row>
    <row r="41" spans="2:17" ht="56.25" x14ac:dyDescent="0.2">
      <c r="B41" s="6" t="s">
        <v>174</v>
      </c>
      <c r="C41" s="6" t="s">
        <v>175</v>
      </c>
      <c r="D41" s="6" t="s">
        <v>36</v>
      </c>
      <c r="E41" s="6" t="s">
        <v>37</v>
      </c>
      <c r="F41" s="6" t="s">
        <v>24</v>
      </c>
      <c r="G41" s="7" t="str">
        <f>HYPERLINK("https://www.google.com.au/maps/place/33° 56.772' S+151° 10.632' E","33° 56.772' S")</f>
        <v>33° 56.772' S</v>
      </c>
      <c r="H41" s="7" t="str">
        <f>HYPERLINK("https://www.google.com.au/maps/place/33° 56.772' S+151° 10.632' E","151° 10.632' E")</f>
        <v>151° 10.632' E</v>
      </c>
      <c r="I41" s="6" t="s">
        <v>25</v>
      </c>
      <c r="J41" s="6" t="s">
        <v>137</v>
      </c>
      <c r="K41" s="6" t="s">
        <v>138</v>
      </c>
      <c r="L41" s="6" t="s">
        <v>28</v>
      </c>
      <c r="M41" s="6" t="s">
        <v>29</v>
      </c>
      <c r="N41" s="6" t="s">
        <v>128</v>
      </c>
      <c r="O41" s="6" t="s">
        <v>31</v>
      </c>
      <c r="P41" s="8" t="s">
        <v>176</v>
      </c>
      <c r="Q41" s="1" t="s">
        <v>33</v>
      </c>
    </row>
    <row r="42" spans="2:17" ht="33.75" x14ac:dyDescent="0.2">
      <c r="B42" s="6" t="s">
        <v>177</v>
      </c>
      <c r="C42" s="6" t="s">
        <v>178</v>
      </c>
      <c r="D42" s="6" t="s">
        <v>36</v>
      </c>
      <c r="E42" s="6" t="s">
        <v>37</v>
      </c>
      <c r="F42" s="6" t="s">
        <v>90</v>
      </c>
      <c r="G42" s="7" t="str">
        <f>HYPERLINK("https://www.google.com.au/maps/place/36° 4.068' S+146° 57.48' E","36° 4.068' S")</f>
        <v>36° 4.068' S</v>
      </c>
      <c r="H42" s="7" t="str">
        <f>HYPERLINK("https://www.google.com.au/maps/place/36° 4.068' S+146° 57.48' E","146° 57.48' E")</f>
        <v>146° 57.48' E</v>
      </c>
      <c r="I42" s="6" t="s">
        <v>25</v>
      </c>
      <c r="J42" s="6" t="s">
        <v>38</v>
      </c>
      <c r="K42" s="6" t="s">
        <v>39</v>
      </c>
      <c r="L42" s="6" t="s">
        <v>40</v>
      </c>
      <c r="M42" s="6" t="s">
        <v>41</v>
      </c>
      <c r="N42" s="6" t="s">
        <v>62</v>
      </c>
      <c r="O42" s="6" t="s">
        <v>71</v>
      </c>
      <c r="P42" s="8" t="s">
        <v>72</v>
      </c>
      <c r="Q42" s="1" t="s">
        <v>33</v>
      </c>
    </row>
    <row r="43" spans="2:17" ht="33.75" x14ac:dyDescent="0.2">
      <c r="B43" s="6" t="s">
        <v>179</v>
      </c>
      <c r="C43" s="6" t="s">
        <v>180</v>
      </c>
      <c r="D43" s="6" t="s">
        <v>36</v>
      </c>
      <c r="E43" s="6" t="s">
        <v>37</v>
      </c>
      <c r="F43" s="6" t="s">
        <v>24</v>
      </c>
      <c r="G43" s="7" t="str">
        <f>HYPERLINK("https://www.google.com.au/maps/place/33° 56.772' S+151° 10.632' E","33° 56.772' S")</f>
        <v>33° 56.772' S</v>
      </c>
      <c r="H43" s="7" t="str">
        <f>HYPERLINK("https://www.google.com.au/maps/place/33° 56.772' S+151° 10.632' E","151° 10.632' E")</f>
        <v>151° 10.632' E</v>
      </c>
      <c r="I43" s="6" t="s">
        <v>25</v>
      </c>
      <c r="J43" s="6" t="s">
        <v>38</v>
      </c>
      <c r="K43" s="6" t="s">
        <v>39</v>
      </c>
      <c r="L43" s="6" t="s">
        <v>40</v>
      </c>
      <c r="M43" s="6" t="s">
        <v>41</v>
      </c>
      <c r="N43" s="6" t="s">
        <v>62</v>
      </c>
      <c r="O43" s="6" t="s">
        <v>43</v>
      </c>
      <c r="P43" s="8" t="s">
        <v>181</v>
      </c>
      <c r="Q43" s="1" t="s">
        <v>33</v>
      </c>
    </row>
    <row r="44" spans="2:17" ht="33.75" x14ac:dyDescent="0.2">
      <c r="B44" s="6" t="s">
        <v>182</v>
      </c>
      <c r="C44" s="6" t="s">
        <v>183</v>
      </c>
      <c r="D44" s="6" t="s">
        <v>36</v>
      </c>
      <c r="E44" s="6" t="s">
        <v>37</v>
      </c>
      <c r="F44" s="6" t="s">
        <v>24</v>
      </c>
      <c r="G44" s="7" t="str">
        <f>HYPERLINK("https://www.google.com.au/maps/place/33° 56.772' S+151° 10.632' E","33° 56.772' S")</f>
        <v>33° 56.772' S</v>
      </c>
      <c r="H44" s="7" t="str">
        <f>HYPERLINK("https://www.google.com.au/maps/place/33° 56.772' S+151° 10.632' E","151° 10.632' E")</f>
        <v>151° 10.632' E</v>
      </c>
      <c r="I44" s="6" t="s">
        <v>25</v>
      </c>
      <c r="J44" s="6" t="s">
        <v>38</v>
      </c>
      <c r="K44" s="6" t="s">
        <v>39</v>
      </c>
      <c r="L44" s="6" t="s">
        <v>40</v>
      </c>
      <c r="M44" s="6" t="s">
        <v>41</v>
      </c>
      <c r="N44" s="6" t="s">
        <v>62</v>
      </c>
      <c r="O44" s="6" t="s">
        <v>43</v>
      </c>
      <c r="P44" s="8" t="s">
        <v>184</v>
      </c>
      <c r="Q44" s="1" t="s">
        <v>33</v>
      </c>
    </row>
    <row r="45" spans="2:17" ht="33.75" x14ac:dyDescent="0.2">
      <c r="B45" s="6" t="s">
        <v>185</v>
      </c>
      <c r="C45" s="6" t="s">
        <v>186</v>
      </c>
      <c r="D45" s="6" t="s">
        <v>36</v>
      </c>
      <c r="E45" s="6" t="s">
        <v>37</v>
      </c>
      <c r="F45" s="6" t="s">
        <v>187</v>
      </c>
      <c r="G45" s="7" t="str">
        <f>HYPERLINK("https://www.google.com.au/maps/place/31° 26.148' S+152° 51.798' E","31° 26.148' S")</f>
        <v>31° 26.148' S</v>
      </c>
      <c r="H45" s="7" t="str">
        <f>HYPERLINK("https://www.google.com.au/maps/place/31° 26.148' S+152° 51.798' E","152° 51.798' E")</f>
        <v>152° 51.798' E</v>
      </c>
      <c r="I45" s="6" t="s">
        <v>25</v>
      </c>
      <c r="J45" s="6" t="s">
        <v>38</v>
      </c>
      <c r="K45" s="6" t="s">
        <v>39</v>
      </c>
      <c r="L45" s="6" t="s">
        <v>40</v>
      </c>
      <c r="M45" s="6" t="s">
        <v>41</v>
      </c>
      <c r="N45" s="6" t="s">
        <v>102</v>
      </c>
      <c r="O45" s="6" t="s">
        <v>103</v>
      </c>
      <c r="P45" s="8" t="s">
        <v>150</v>
      </c>
      <c r="Q45" s="1" t="s">
        <v>33</v>
      </c>
    </row>
    <row r="46" spans="2:17" ht="33.75" x14ac:dyDescent="0.2">
      <c r="B46" s="6" t="s">
        <v>188</v>
      </c>
      <c r="C46" s="6" t="s">
        <v>189</v>
      </c>
      <c r="D46" s="6" t="s">
        <v>36</v>
      </c>
      <c r="E46" s="6" t="s">
        <v>37</v>
      </c>
      <c r="F46" s="6" t="s">
        <v>60</v>
      </c>
      <c r="G46" s="7" t="str">
        <f>HYPERLINK("https://www.google.com.au/maps/place/35° 18.42' S+149° 11.7' E","35° 18.42' S")</f>
        <v>35° 18.42' S</v>
      </c>
      <c r="H46" s="7" t="str">
        <f>HYPERLINK("https://www.google.com.au/maps/place/35° 18.42' S+149° 11.7' E","149° 11.7' E")</f>
        <v>149° 11.7' E</v>
      </c>
      <c r="I46" s="6" t="s">
        <v>61</v>
      </c>
      <c r="J46" s="6" t="s">
        <v>38</v>
      </c>
      <c r="K46" s="6" t="s">
        <v>39</v>
      </c>
      <c r="L46" s="6" t="s">
        <v>40</v>
      </c>
      <c r="M46" s="6" t="s">
        <v>41</v>
      </c>
      <c r="N46" s="6" t="s">
        <v>62</v>
      </c>
      <c r="O46" s="6" t="s">
        <v>43</v>
      </c>
      <c r="P46" s="8" t="s">
        <v>190</v>
      </c>
      <c r="Q46" s="1" t="s">
        <v>33</v>
      </c>
    </row>
    <row r="47" spans="2:17" ht="56.25" x14ac:dyDescent="0.2">
      <c r="B47" s="6" t="s">
        <v>191</v>
      </c>
      <c r="C47" s="6" t="s">
        <v>192</v>
      </c>
      <c r="D47" s="6" t="s">
        <v>23</v>
      </c>
      <c r="E47" s="7" t="str">
        <f>HYPERLINK("http://www.atsb.gov.au/publications/investigation_reports/2018/aair/AO-2018-081.aspx","AO-2018-081")</f>
        <v>AO-2018-081</v>
      </c>
      <c r="F47" s="6" t="s">
        <v>193</v>
      </c>
      <c r="G47" s="7" t="str">
        <f>HYPERLINK("https://www.google.com.au/maps/place/35° 18.42' S+149° 11.7' E","35° 18.42' S")</f>
        <v>35° 18.42' S</v>
      </c>
      <c r="H47" s="7" t="str">
        <f>HYPERLINK("https://www.google.com.au/maps/place/35° 18.42' S+149° 11.7' E","149° 11.7' E")</f>
        <v>149° 11.7' E</v>
      </c>
      <c r="I47" s="6" t="s">
        <v>61</v>
      </c>
      <c r="J47" s="6" t="s">
        <v>38</v>
      </c>
      <c r="K47" s="6" t="s">
        <v>39</v>
      </c>
      <c r="L47" s="6" t="s">
        <v>40</v>
      </c>
      <c r="M47" s="6" t="s">
        <v>41</v>
      </c>
      <c r="N47" s="6" t="s">
        <v>42</v>
      </c>
      <c r="O47" s="6" t="s">
        <v>43</v>
      </c>
      <c r="P47" s="8" t="s">
        <v>194</v>
      </c>
      <c r="Q47" s="1" t="s">
        <v>33</v>
      </c>
    </row>
    <row r="48" spans="2:17" ht="33.75" x14ac:dyDescent="0.2">
      <c r="B48" s="6" t="s">
        <v>195</v>
      </c>
      <c r="C48" s="6" t="s">
        <v>196</v>
      </c>
      <c r="D48" s="6" t="s">
        <v>36</v>
      </c>
      <c r="E48" s="6" t="s">
        <v>37</v>
      </c>
      <c r="F48" s="6" t="s">
        <v>60</v>
      </c>
      <c r="G48" s="7" t="str">
        <f>HYPERLINK("https://www.google.com.au/maps/place/35° 18.42' S+149° 11.7' E","35° 18.42' S")</f>
        <v>35° 18.42' S</v>
      </c>
      <c r="H48" s="7" t="str">
        <f>HYPERLINK("https://www.google.com.au/maps/place/35° 18.42' S+149° 11.7' E","149° 11.7' E")</f>
        <v>149° 11.7' E</v>
      </c>
      <c r="I48" s="6" t="s">
        <v>61</v>
      </c>
      <c r="J48" s="6" t="s">
        <v>38</v>
      </c>
      <c r="K48" s="6" t="s">
        <v>39</v>
      </c>
      <c r="L48" s="6" t="s">
        <v>40</v>
      </c>
      <c r="M48" s="6" t="s">
        <v>41</v>
      </c>
      <c r="N48" s="6" t="s">
        <v>62</v>
      </c>
      <c r="O48" s="6" t="s">
        <v>43</v>
      </c>
      <c r="P48" s="8" t="s">
        <v>150</v>
      </c>
      <c r="Q48" s="1" t="s">
        <v>33</v>
      </c>
    </row>
    <row r="49" spans="2:17" ht="33.75" x14ac:dyDescent="0.2">
      <c r="B49" s="6" t="s">
        <v>197</v>
      </c>
      <c r="C49" s="6" t="s">
        <v>198</v>
      </c>
      <c r="D49" s="6" t="s">
        <v>36</v>
      </c>
      <c r="E49" s="6" t="s">
        <v>37</v>
      </c>
      <c r="F49" s="6" t="s">
        <v>60</v>
      </c>
      <c r="G49" s="7" t="str">
        <f>HYPERLINK("https://www.google.com.au/maps/place/35° 18.42' S+149° 11.7' E","35° 18.42' S")</f>
        <v>35° 18.42' S</v>
      </c>
      <c r="H49" s="7" t="str">
        <f>HYPERLINK("https://www.google.com.au/maps/place/35° 18.42' S+149° 11.7' E","149° 11.7' E")</f>
        <v>149° 11.7' E</v>
      </c>
      <c r="I49" s="6" t="s">
        <v>61</v>
      </c>
      <c r="J49" s="6" t="s">
        <v>38</v>
      </c>
      <c r="K49" s="6" t="s">
        <v>39</v>
      </c>
      <c r="L49" s="6" t="s">
        <v>40</v>
      </c>
      <c r="M49" s="6" t="s">
        <v>41</v>
      </c>
      <c r="N49" s="6" t="s">
        <v>62</v>
      </c>
      <c r="O49" s="6" t="s">
        <v>43</v>
      </c>
      <c r="P49" s="8" t="s">
        <v>104</v>
      </c>
      <c r="Q49" s="1" t="s">
        <v>33</v>
      </c>
    </row>
    <row r="50" spans="2:17" ht="67.5" x14ac:dyDescent="0.2">
      <c r="B50" s="6" t="s">
        <v>199</v>
      </c>
      <c r="C50" s="6" t="s">
        <v>200</v>
      </c>
      <c r="D50" s="6" t="s">
        <v>36</v>
      </c>
      <c r="E50" s="6" t="s">
        <v>37</v>
      </c>
      <c r="F50" s="6" t="s">
        <v>117</v>
      </c>
      <c r="G50" s="7" t="str">
        <f>HYPERLINK("https://www.google.com.au/maps/place/33° 56.772' S+151° 10.632' E","33° 56.772' S")</f>
        <v>33° 56.772' S</v>
      </c>
      <c r="H50" s="7" t="str">
        <f>HYPERLINK("https://www.google.com.au/maps/place/33° 56.772' S+151° 10.632' E","151° 10.632' E")</f>
        <v>151° 10.632' E</v>
      </c>
      <c r="I50" s="6" t="s">
        <v>25</v>
      </c>
      <c r="J50" s="6" t="s">
        <v>26</v>
      </c>
      <c r="K50" s="6" t="s">
        <v>201</v>
      </c>
      <c r="L50" s="6" t="s">
        <v>28</v>
      </c>
      <c r="M50" s="6" t="s">
        <v>29</v>
      </c>
      <c r="N50" s="6" t="s">
        <v>86</v>
      </c>
      <c r="O50" s="6" t="s">
        <v>31</v>
      </c>
      <c r="P50" s="8" t="s">
        <v>202</v>
      </c>
      <c r="Q50" s="1" t="s">
        <v>33</v>
      </c>
    </row>
    <row r="51" spans="2:17" ht="67.5" x14ac:dyDescent="0.2">
      <c r="B51" s="6" t="s">
        <v>203</v>
      </c>
      <c r="C51" s="6" t="s">
        <v>204</v>
      </c>
      <c r="D51" s="6" t="s">
        <v>36</v>
      </c>
      <c r="E51" s="6" t="s">
        <v>37</v>
      </c>
      <c r="F51" s="6" t="s">
        <v>24</v>
      </c>
      <c r="G51" s="7" t="str">
        <f>HYPERLINK("https://www.google.com.au/maps/place/33° 56.772' S+151° 10.632' E","33° 56.772' S")</f>
        <v>33° 56.772' S</v>
      </c>
      <c r="H51" s="7" t="str">
        <f>HYPERLINK("https://www.google.com.au/maps/place/33° 56.772' S+151° 10.632' E","151° 10.632' E")</f>
        <v>151° 10.632' E</v>
      </c>
      <c r="I51" s="6" t="s">
        <v>25</v>
      </c>
      <c r="J51" s="6" t="s">
        <v>26</v>
      </c>
      <c r="K51" s="6" t="s">
        <v>85</v>
      </c>
      <c r="L51" s="6" t="s">
        <v>28</v>
      </c>
      <c r="M51" s="6" t="s">
        <v>29</v>
      </c>
      <c r="N51" s="6" t="s">
        <v>128</v>
      </c>
      <c r="O51" s="6" t="s">
        <v>31</v>
      </c>
      <c r="P51" s="8" t="s">
        <v>205</v>
      </c>
      <c r="Q51" s="1" t="s">
        <v>33</v>
      </c>
    </row>
    <row r="52" spans="2:17" ht="67.5" x14ac:dyDescent="0.2">
      <c r="B52" s="6" t="s">
        <v>206</v>
      </c>
      <c r="C52" s="6" t="s">
        <v>207</v>
      </c>
      <c r="D52" s="6" t="s">
        <v>36</v>
      </c>
      <c r="E52" s="6" t="s">
        <v>37</v>
      </c>
      <c r="F52" s="6" t="s">
        <v>24</v>
      </c>
      <c r="G52" s="7" t="str">
        <f>HYPERLINK("https://www.google.com.au/maps/place/33° 56.772' S+151° 10.632' E","33° 56.772' S")</f>
        <v>33° 56.772' S</v>
      </c>
      <c r="H52" s="7" t="str">
        <f>HYPERLINK("https://www.google.com.au/maps/place/33° 56.772' S+151° 10.632' E","151° 10.632' E")</f>
        <v>151° 10.632' E</v>
      </c>
      <c r="I52" s="6" t="s">
        <v>25</v>
      </c>
      <c r="J52" s="6" t="s">
        <v>26</v>
      </c>
      <c r="K52" s="6" t="s">
        <v>85</v>
      </c>
      <c r="L52" s="6" t="s">
        <v>28</v>
      </c>
      <c r="M52" s="6" t="s">
        <v>29</v>
      </c>
      <c r="N52" s="6" t="s">
        <v>86</v>
      </c>
      <c r="O52" s="6" t="s">
        <v>31</v>
      </c>
      <c r="P52" s="8" t="s">
        <v>208</v>
      </c>
      <c r="Q52" s="1" t="s">
        <v>33</v>
      </c>
    </row>
    <row r="53" spans="2:17" ht="33.75" x14ac:dyDescent="0.2">
      <c r="B53" s="6" t="s">
        <v>209</v>
      </c>
      <c r="C53" s="6" t="s">
        <v>210</v>
      </c>
      <c r="D53" s="6" t="s">
        <v>36</v>
      </c>
      <c r="E53" s="6" t="s">
        <v>37</v>
      </c>
      <c r="F53" s="6" t="s">
        <v>24</v>
      </c>
      <c r="G53" s="7" t="str">
        <f>HYPERLINK("https://www.google.com.au/maps/place/33° 56.772' S+151° 10.632' E","33° 56.772' S")</f>
        <v>33° 56.772' S</v>
      </c>
      <c r="H53" s="7" t="str">
        <f>HYPERLINK("https://www.google.com.au/maps/place/33° 56.772' S+151° 10.632' E","151° 10.632' E")</f>
        <v>151° 10.632' E</v>
      </c>
      <c r="I53" s="6" t="s">
        <v>25</v>
      </c>
      <c r="J53" s="6" t="s">
        <v>38</v>
      </c>
      <c r="K53" s="6" t="s">
        <v>39</v>
      </c>
      <c r="L53" s="6" t="s">
        <v>40</v>
      </c>
      <c r="M53" s="6" t="s">
        <v>41</v>
      </c>
      <c r="N53" s="6" t="s">
        <v>62</v>
      </c>
      <c r="O53" s="6" t="s">
        <v>43</v>
      </c>
      <c r="P53" s="8" t="s">
        <v>211</v>
      </c>
      <c r="Q53" s="1" t="s">
        <v>33</v>
      </c>
    </row>
    <row r="54" spans="2:17" ht="33.75" x14ac:dyDescent="0.2">
      <c r="B54" s="6" t="s">
        <v>212</v>
      </c>
      <c r="C54" s="6" t="s">
        <v>213</v>
      </c>
      <c r="D54" s="6" t="s">
        <v>36</v>
      </c>
      <c r="E54" s="6" t="s">
        <v>37</v>
      </c>
      <c r="F54" s="6" t="s">
        <v>214</v>
      </c>
      <c r="G54" s="7" t="str">
        <f>HYPERLINK("https://www.google.com.au/maps/place/36° 5.322' S+146° 57.57' E","36° 5.322' S")</f>
        <v>36° 5.322' S</v>
      </c>
      <c r="H54" s="7" t="str">
        <f>HYPERLINK("https://www.google.com.au/maps/place/36° 5.322' S+146° 57.57' E","146° 57.57' E")</f>
        <v>146° 57.57' E</v>
      </c>
      <c r="I54" s="6" t="s">
        <v>25</v>
      </c>
      <c r="J54" s="6" t="s">
        <v>38</v>
      </c>
      <c r="K54" s="6" t="s">
        <v>39</v>
      </c>
      <c r="L54" s="6" t="s">
        <v>40</v>
      </c>
      <c r="M54" s="6" t="s">
        <v>41</v>
      </c>
      <c r="N54" s="6" t="s">
        <v>62</v>
      </c>
      <c r="O54" s="6" t="s">
        <v>71</v>
      </c>
      <c r="P54" s="8" t="s">
        <v>215</v>
      </c>
      <c r="Q54" s="1" t="s">
        <v>33</v>
      </c>
    </row>
    <row r="55" spans="2:17" ht="56.25" x14ac:dyDescent="0.2">
      <c r="B55" s="6" t="s">
        <v>216</v>
      </c>
      <c r="C55" s="6" t="s">
        <v>217</v>
      </c>
      <c r="D55" s="6" t="s">
        <v>36</v>
      </c>
      <c r="E55" s="6" t="s">
        <v>37</v>
      </c>
      <c r="F55" s="6" t="s">
        <v>218</v>
      </c>
      <c r="G55" s="7" t="str">
        <f>HYPERLINK("https://www.google.com.au/maps/place/37° 0.48' S+174° 47.502' E","37° 0.48' S")</f>
        <v>37° 0.48' S</v>
      </c>
      <c r="H55" s="7" t="str">
        <f>HYPERLINK("https://www.google.com.au/maps/place/37° 0.48' S+174° 47.502' E","174° 47.502' E")</f>
        <v>174° 47.502' E</v>
      </c>
      <c r="I55" s="6" t="s">
        <v>219</v>
      </c>
      <c r="J55" s="6" t="s">
        <v>137</v>
      </c>
      <c r="K55" s="6" t="s">
        <v>220</v>
      </c>
      <c r="L55" s="6" t="s">
        <v>221</v>
      </c>
      <c r="M55" s="6" t="s">
        <v>54</v>
      </c>
      <c r="N55" s="6" t="s">
        <v>222</v>
      </c>
      <c r="O55" s="6" t="s">
        <v>223</v>
      </c>
      <c r="P55" s="8" t="s">
        <v>224</v>
      </c>
      <c r="Q55" s="1" t="s">
        <v>33</v>
      </c>
    </row>
    <row r="56" spans="2:17" ht="33.75" x14ac:dyDescent="0.2">
      <c r="B56" s="6" t="s">
        <v>225</v>
      </c>
      <c r="C56" s="6" t="s">
        <v>226</v>
      </c>
      <c r="D56" s="6" t="s">
        <v>36</v>
      </c>
      <c r="E56" s="6" t="s">
        <v>37</v>
      </c>
      <c r="F56" s="6" t="s">
        <v>227</v>
      </c>
      <c r="G56" s="7" t="str">
        <f>HYPERLINK("https://www.google.com.au/maps/place/33° 52.8' S+151° 10.002' E","33° 52.8' S")</f>
        <v>33° 52.8' S</v>
      </c>
      <c r="H56" s="7" t="str">
        <f>HYPERLINK("https://www.google.com.au/maps/place/33° 52.8' S+151° 10.002' E","151° 10.002' E")</f>
        <v>151° 10.002' E</v>
      </c>
      <c r="I56" s="6" t="s">
        <v>25</v>
      </c>
      <c r="J56" s="6" t="s">
        <v>38</v>
      </c>
      <c r="K56" s="6" t="s">
        <v>39</v>
      </c>
      <c r="L56" s="6" t="s">
        <v>40</v>
      </c>
      <c r="M56" s="6" t="s">
        <v>41</v>
      </c>
      <c r="N56" s="6" t="s">
        <v>62</v>
      </c>
      <c r="O56" s="6" t="s">
        <v>43</v>
      </c>
      <c r="P56" s="8" t="s">
        <v>228</v>
      </c>
      <c r="Q56" s="1" t="s">
        <v>33</v>
      </c>
    </row>
    <row r="57" spans="2:17" ht="33.75" x14ac:dyDescent="0.2">
      <c r="B57" s="6" t="s">
        <v>229</v>
      </c>
      <c r="C57" s="6" t="s">
        <v>230</v>
      </c>
      <c r="D57" s="6" t="s">
        <v>36</v>
      </c>
      <c r="E57" s="6" t="s">
        <v>37</v>
      </c>
      <c r="F57" s="6" t="s">
        <v>60</v>
      </c>
      <c r="G57" s="7" t="str">
        <f>HYPERLINK("https://www.google.com.au/maps/place/35° 18.42' S+149° 11.7' E","35° 18.42' S")</f>
        <v>35° 18.42' S</v>
      </c>
      <c r="H57" s="7" t="str">
        <f>HYPERLINK("https://www.google.com.au/maps/place/35° 18.42' S+149° 11.7' E","149° 11.7' E")</f>
        <v>149° 11.7' E</v>
      </c>
      <c r="I57" s="6" t="s">
        <v>61</v>
      </c>
      <c r="J57" s="6" t="s">
        <v>38</v>
      </c>
      <c r="K57" s="6" t="s">
        <v>39</v>
      </c>
      <c r="L57" s="6" t="s">
        <v>40</v>
      </c>
      <c r="M57" s="6" t="s">
        <v>41</v>
      </c>
      <c r="N57" s="6" t="s">
        <v>62</v>
      </c>
      <c r="O57" s="6" t="s">
        <v>43</v>
      </c>
      <c r="P57" s="8" t="s">
        <v>231</v>
      </c>
      <c r="Q57" s="1" t="s">
        <v>33</v>
      </c>
    </row>
    <row r="58" spans="2:17" ht="67.5" x14ac:dyDescent="0.2">
      <c r="B58" s="6" t="s">
        <v>232</v>
      </c>
      <c r="C58" s="6" t="s">
        <v>233</v>
      </c>
      <c r="D58" s="6" t="s">
        <v>36</v>
      </c>
      <c r="E58" s="6" t="s">
        <v>37</v>
      </c>
      <c r="F58" s="6" t="s">
        <v>117</v>
      </c>
      <c r="G58" s="7" t="str">
        <f>HYPERLINK("https://www.google.com.au/maps/place/33° 56.772' S+151° 10.632' E","33° 56.772' S")</f>
        <v>33° 56.772' S</v>
      </c>
      <c r="H58" s="7" t="str">
        <f>HYPERLINK("https://www.google.com.au/maps/place/33° 56.772' S+151° 10.632' E","151° 10.632' E")</f>
        <v>151° 10.632' E</v>
      </c>
      <c r="I58" s="6" t="s">
        <v>25</v>
      </c>
      <c r="J58" s="6" t="s">
        <v>26</v>
      </c>
      <c r="K58" s="6" t="s">
        <v>85</v>
      </c>
      <c r="L58" s="6" t="s">
        <v>28</v>
      </c>
      <c r="M58" s="6" t="s">
        <v>29</v>
      </c>
      <c r="N58" s="6" t="s">
        <v>128</v>
      </c>
      <c r="O58" s="6" t="s">
        <v>31</v>
      </c>
      <c r="P58" s="8" t="s">
        <v>234</v>
      </c>
      <c r="Q58" s="1" t="s">
        <v>33</v>
      </c>
    </row>
    <row r="59" spans="2:17" ht="33.75" x14ac:dyDescent="0.2">
      <c r="B59" s="6" t="s">
        <v>235</v>
      </c>
      <c r="C59" s="6" t="s">
        <v>236</v>
      </c>
      <c r="D59" s="6" t="s">
        <v>36</v>
      </c>
      <c r="E59" s="6" t="s">
        <v>37</v>
      </c>
      <c r="F59" s="6" t="s">
        <v>24</v>
      </c>
      <c r="G59" s="7" t="str">
        <f>HYPERLINK("https://www.google.com.au/maps/place/33° 56.772' S+151° 10.632' E","33° 56.772' S")</f>
        <v>33° 56.772' S</v>
      </c>
      <c r="H59" s="7" t="str">
        <f>HYPERLINK("https://www.google.com.au/maps/place/33° 56.772' S+151° 10.632' E","151° 10.632' E")</f>
        <v>151° 10.632' E</v>
      </c>
      <c r="I59" s="6" t="s">
        <v>25</v>
      </c>
      <c r="J59" s="6" t="s">
        <v>38</v>
      </c>
      <c r="K59" s="6" t="s">
        <v>39</v>
      </c>
      <c r="L59" s="6" t="s">
        <v>40</v>
      </c>
      <c r="M59" s="6" t="s">
        <v>41</v>
      </c>
      <c r="N59" s="6" t="s">
        <v>62</v>
      </c>
      <c r="O59" s="6" t="s">
        <v>43</v>
      </c>
      <c r="P59" s="8" t="s">
        <v>104</v>
      </c>
      <c r="Q59" s="1" t="s">
        <v>237</v>
      </c>
    </row>
    <row r="60" spans="2:17" ht="33.75" x14ac:dyDescent="0.2">
      <c r="B60" s="6" t="s">
        <v>238</v>
      </c>
      <c r="C60" s="6" t="s">
        <v>239</v>
      </c>
      <c r="D60" s="6" t="s">
        <v>36</v>
      </c>
      <c r="E60" s="6" t="s">
        <v>37</v>
      </c>
      <c r="F60" s="6" t="s">
        <v>132</v>
      </c>
      <c r="G60" s="7" t="str">
        <f>HYPERLINK("https://www.google.com.au/maps/place/37° 40.398' S+144° 50.598' E","37° 40.398' S")</f>
        <v>37° 40.398' S</v>
      </c>
      <c r="H60" s="7" t="str">
        <f>HYPERLINK("https://www.google.com.au/maps/place/37° 40.398' S+144° 50.598' E","144° 50.598' E")</f>
        <v>144° 50.598' E</v>
      </c>
      <c r="I60" s="6" t="s">
        <v>133</v>
      </c>
      <c r="J60" s="6" t="s">
        <v>38</v>
      </c>
      <c r="K60" s="6" t="s">
        <v>39</v>
      </c>
      <c r="L60" s="6" t="s">
        <v>40</v>
      </c>
      <c r="M60" s="6" t="s">
        <v>41</v>
      </c>
      <c r="N60" s="6" t="s">
        <v>62</v>
      </c>
      <c r="O60" s="6" t="s">
        <v>43</v>
      </c>
      <c r="P60" s="8" t="s">
        <v>240</v>
      </c>
      <c r="Q60" s="1" t="s">
        <v>33</v>
      </c>
    </row>
    <row r="61" spans="2:17" ht="33.75" x14ac:dyDescent="0.2">
      <c r="B61" s="6" t="s">
        <v>241</v>
      </c>
      <c r="C61" s="6" t="s">
        <v>242</v>
      </c>
      <c r="D61" s="6" t="s">
        <v>36</v>
      </c>
      <c r="E61" s="6" t="s">
        <v>37</v>
      </c>
      <c r="F61" s="6" t="s">
        <v>193</v>
      </c>
      <c r="G61" s="7" t="str">
        <f>HYPERLINK("https://www.google.com.au/maps/place/35° 18.42' S+149° 11.7' E","35° 18.42' S")</f>
        <v>35° 18.42' S</v>
      </c>
      <c r="H61" s="7" t="str">
        <f>HYPERLINK("https://www.google.com.au/maps/place/35° 18.42' S+149° 11.7' E","149° 11.7' E")</f>
        <v>149° 11.7' E</v>
      </c>
      <c r="I61" s="6" t="s">
        <v>61</v>
      </c>
      <c r="J61" s="6" t="s">
        <v>38</v>
      </c>
      <c r="K61" s="6" t="s">
        <v>39</v>
      </c>
      <c r="L61" s="6" t="s">
        <v>40</v>
      </c>
      <c r="M61" s="6" t="s">
        <v>41</v>
      </c>
      <c r="N61" s="6" t="s">
        <v>62</v>
      </c>
      <c r="O61" s="6" t="s">
        <v>43</v>
      </c>
      <c r="P61" s="8" t="s">
        <v>243</v>
      </c>
      <c r="Q61" s="1" t="s">
        <v>237</v>
      </c>
    </row>
    <row r="62" spans="2:17" ht="33.75" x14ac:dyDescent="0.2">
      <c r="B62" s="6" t="s">
        <v>244</v>
      </c>
      <c r="C62" s="6" t="s">
        <v>245</v>
      </c>
      <c r="D62" s="6" t="s">
        <v>36</v>
      </c>
      <c r="E62" s="6" t="s">
        <v>37</v>
      </c>
      <c r="F62" s="6" t="s">
        <v>117</v>
      </c>
      <c r="G62" s="7" t="str">
        <f>HYPERLINK("https://www.google.com.au/maps/place/33° 56.772' S+151° 10.632' E","33° 56.772' S")</f>
        <v>33° 56.772' S</v>
      </c>
      <c r="H62" s="7" t="str">
        <f>HYPERLINK("https://www.google.com.au/maps/place/33° 56.772' S+151° 10.632' E","151° 10.632' E")</f>
        <v>151° 10.632' E</v>
      </c>
      <c r="I62" s="6" t="s">
        <v>25</v>
      </c>
      <c r="J62" s="6" t="s">
        <v>38</v>
      </c>
      <c r="K62" s="6" t="s">
        <v>39</v>
      </c>
      <c r="L62" s="6" t="s">
        <v>40</v>
      </c>
      <c r="M62" s="6" t="s">
        <v>41</v>
      </c>
      <c r="N62" s="6" t="s">
        <v>62</v>
      </c>
      <c r="O62" s="6" t="s">
        <v>43</v>
      </c>
      <c r="P62" s="8" t="s">
        <v>243</v>
      </c>
      <c r="Q62" s="1" t="s">
        <v>237</v>
      </c>
    </row>
    <row r="63" spans="2:17" ht="56.25" x14ac:dyDescent="0.2">
      <c r="B63" s="6" t="s">
        <v>244</v>
      </c>
      <c r="C63" s="6" t="s">
        <v>246</v>
      </c>
      <c r="D63" s="6" t="s">
        <v>36</v>
      </c>
      <c r="E63" s="6" t="s">
        <v>37</v>
      </c>
      <c r="F63" s="6" t="s">
        <v>247</v>
      </c>
      <c r="G63" s="7" t="str">
        <f>HYPERLINK("https://www.google.com.au/maps/place/34° 10.752' S+150° 6.402' E","34° 10.752' S")</f>
        <v>34° 10.752' S</v>
      </c>
      <c r="H63" s="7" t="str">
        <f>HYPERLINK("https://www.google.com.au/maps/place/34° 10.752' S+150° 6.402' E","150° 6.402' E")</f>
        <v>150° 6.402' E</v>
      </c>
      <c r="I63" s="6" t="s">
        <v>25</v>
      </c>
      <c r="J63" s="6" t="s">
        <v>248</v>
      </c>
      <c r="K63" s="6" t="s">
        <v>249</v>
      </c>
      <c r="L63" s="6" t="s">
        <v>250</v>
      </c>
      <c r="M63" s="6" t="s">
        <v>29</v>
      </c>
      <c r="N63" s="6" t="s">
        <v>86</v>
      </c>
      <c r="O63" s="6" t="s">
        <v>31</v>
      </c>
      <c r="P63" s="8" t="s">
        <v>251</v>
      </c>
      <c r="Q63" s="1" t="s">
        <v>33</v>
      </c>
    </row>
    <row r="64" spans="2:17" ht="33.75" x14ac:dyDescent="0.2">
      <c r="B64" s="6" t="s">
        <v>252</v>
      </c>
      <c r="C64" s="6" t="s">
        <v>253</v>
      </c>
      <c r="D64" s="6" t="s">
        <v>36</v>
      </c>
      <c r="E64" s="6" t="s">
        <v>37</v>
      </c>
      <c r="F64" s="6" t="s">
        <v>69</v>
      </c>
      <c r="G64" s="7" t="str">
        <f>HYPERLINK("https://www.google.com.au/maps/place/31° 5.028' S+150° 50.802' E","31° 5.028' S")</f>
        <v>31° 5.028' S</v>
      </c>
      <c r="H64" s="7" t="str">
        <f>HYPERLINK("https://www.google.com.au/maps/place/31° 5.028' S+150° 50.802' E","150° 50.802' E")</f>
        <v>150° 50.802' E</v>
      </c>
      <c r="I64" s="6" t="s">
        <v>25</v>
      </c>
      <c r="J64" s="6" t="s">
        <v>38</v>
      </c>
      <c r="K64" s="6" t="s">
        <v>39</v>
      </c>
      <c r="L64" s="6" t="s">
        <v>40</v>
      </c>
      <c r="M64" s="6" t="s">
        <v>41</v>
      </c>
      <c r="N64" s="6" t="s">
        <v>62</v>
      </c>
      <c r="O64" s="6" t="s">
        <v>71</v>
      </c>
      <c r="P64" s="8" t="s">
        <v>254</v>
      </c>
      <c r="Q64" s="1" t="s">
        <v>237</v>
      </c>
    </row>
    <row r="65" spans="2:17" ht="33.75" x14ac:dyDescent="0.2">
      <c r="B65" s="6" t="s">
        <v>255</v>
      </c>
      <c r="C65" s="6" t="s">
        <v>256</v>
      </c>
      <c r="D65" s="6" t="s">
        <v>36</v>
      </c>
      <c r="E65" s="6" t="s">
        <v>37</v>
      </c>
      <c r="F65" s="6" t="s">
        <v>117</v>
      </c>
      <c r="G65" s="7" t="str">
        <f>HYPERLINK("https://www.google.com.au/maps/place/33° 56.772' S+151° 10.632' E","33° 56.772' S")</f>
        <v>33° 56.772' S</v>
      </c>
      <c r="H65" s="7" t="str">
        <f>HYPERLINK("https://www.google.com.au/maps/place/33° 56.772' S+151° 10.632' E","151° 10.632' E")</f>
        <v>151° 10.632' E</v>
      </c>
      <c r="I65" s="6" t="s">
        <v>25</v>
      </c>
      <c r="J65" s="6" t="s">
        <v>38</v>
      </c>
      <c r="K65" s="6" t="s">
        <v>39</v>
      </c>
      <c r="L65" s="6" t="s">
        <v>40</v>
      </c>
      <c r="M65" s="6" t="s">
        <v>41</v>
      </c>
      <c r="N65" s="6" t="s">
        <v>62</v>
      </c>
      <c r="O65" s="6" t="s">
        <v>43</v>
      </c>
      <c r="P65" s="8" t="s">
        <v>243</v>
      </c>
      <c r="Q65" s="1" t="s">
        <v>237</v>
      </c>
    </row>
    <row r="66" spans="2:17" ht="33.75" x14ac:dyDescent="0.2">
      <c r="B66" s="6" t="s">
        <v>257</v>
      </c>
      <c r="C66" s="6" t="s">
        <v>258</v>
      </c>
      <c r="D66" s="6" t="s">
        <v>36</v>
      </c>
      <c r="E66" s="6" t="s">
        <v>37</v>
      </c>
      <c r="F66" s="6" t="s">
        <v>60</v>
      </c>
      <c r="G66" s="7" t="str">
        <f>HYPERLINK("https://www.google.com.au/maps/place/35° 18.42' S+149° 11.7' E","35° 18.42' S")</f>
        <v>35° 18.42' S</v>
      </c>
      <c r="H66" s="7" t="str">
        <f>HYPERLINK("https://www.google.com.au/maps/place/35° 18.42' S+149° 11.7' E","149° 11.7' E")</f>
        <v>149° 11.7' E</v>
      </c>
      <c r="I66" s="6" t="s">
        <v>61</v>
      </c>
      <c r="J66" s="6" t="s">
        <v>38</v>
      </c>
      <c r="K66" s="6" t="s">
        <v>39</v>
      </c>
      <c r="L66" s="6" t="s">
        <v>40</v>
      </c>
      <c r="M66" s="6" t="s">
        <v>41</v>
      </c>
      <c r="N66" s="6" t="s">
        <v>62</v>
      </c>
      <c r="O66" s="6" t="s">
        <v>43</v>
      </c>
      <c r="P66" s="8" t="s">
        <v>259</v>
      </c>
      <c r="Q66" s="1" t="s">
        <v>33</v>
      </c>
    </row>
    <row r="67" spans="2:17" ht="33.75" x14ac:dyDescent="0.2">
      <c r="B67" s="6" t="s">
        <v>260</v>
      </c>
      <c r="C67" s="6" t="s">
        <v>261</v>
      </c>
      <c r="D67" s="6" t="s">
        <v>36</v>
      </c>
      <c r="E67" s="6" t="s">
        <v>37</v>
      </c>
      <c r="F67" s="6" t="s">
        <v>24</v>
      </c>
      <c r="G67" s="7" t="str">
        <f>HYPERLINK("https://www.google.com.au/maps/place/33° 56.772' S+151° 10.632' E","33° 56.772' S")</f>
        <v>33° 56.772' S</v>
      </c>
      <c r="H67" s="7" t="str">
        <f>HYPERLINK("https://www.google.com.au/maps/place/33° 56.772' S+151° 10.632' E","151° 10.632' E")</f>
        <v>151° 10.632' E</v>
      </c>
      <c r="I67" s="6" t="s">
        <v>25</v>
      </c>
      <c r="J67" s="6" t="s">
        <v>38</v>
      </c>
      <c r="K67" s="6" t="s">
        <v>39</v>
      </c>
      <c r="L67" s="6" t="s">
        <v>40</v>
      </c>
      <c r="M67" s="6" t="s">
        <v>41</v>
      </c>
      <c r="N67" s="6" t="s">
        <v>62</v>
      </c>
      <c r="O67" s="6" t="s">
        <v>43</v>
      </c>
      <c r="P67" s="8" t="s">
        <v>262</v>
      </c>
      <c r="Q67" s="1" t="s">
        <v>33</v>
      </c>
    </row>
    <row r="68" spans="2:17" ht="33.75" x14ac:dyDescent="0.2">
      <c r="B68" s="6" t="s">
        <v>263</v>
      </c>
      <c r="C68" s="6" t="s">
        <v>264</v>
      </c>
      <c r="D68" s="6" t="s">
        <v>36</v>
      </c>
      <c r="E68" s="6" t="s">
        <v>37</v>
      </c>
      <c r="F68" s="6" t="s">
        <v>60</v>
      </c>
      <c r="G68" s="7" t="str">
        <f>HYPERLINK("https://www.google.com.au/maps/place/35° 18.42' S+149° 11.7' E","35° 18.42' S")</f>
        <v>35° 18.42' S</v>
      </c>
      <c r="H68" s="7" t="str">
        <f>HYPERLINK("https://www.google.com.au/maps/place/35° 18.42' S+149° 11.7' E","149° 11.7' E")</f>
        <v>149° 11.7' E</v>
      </c>
      <c r="I68" s="6" t="s">
        <v>61</v>
      </c>
      <c r="J68" s="6" t="s">
        <v>38</v>
      </c>
      <c r="K68" s="6" t="s">
        <v>39</v>
      </c>
      <c r="L68" s="6" t="s">
        <v>40</v>
      </c>
      <c r="M68" s="6" t="s">
        <v>41</v>
      </c>
      <c r="N68" s="6" t="s">
        <v>62</v>
      </c>
      <c r="O68" s="6" t="s">
        <v>43</v>
      </c>
      <c r="P68" s="8" t="s">
        <v>265</v>
      </c>
      <c r="Q68" s="1" t="s">
        <v>237</v>
      </c>
    </row>
    <row r="69" spans="2:17" ht="33.75" x14ac:dyDescent="0.2">
      <c r="B69" s="6" t="s">
        <v>266</v>
      </c>
      <c r="C69" s="6" t="s">
        <v>267</v>
      </c>
      <c r="D69" s="6" t="s">
        <v>36</v>
      </c>
      <c r="E69" s="6" t="s">
        <v>37</v>
      </c>
      <c r="F69" s="6" t="s">
        <v>60</v>
      </c>
      <c r="G69" s="7" t="str">
        <f>HYPERLINK("https://www.google.com.au/maps/place/35° 18.42' S+149° 11.7' E","35° 18.42' S")</f>
        <v>35° 18.42' S</v>
      </c>
      <c r="H69" s="7" t="str">
        <f>HYPERLINK("https://www.google.com.au/maps/place/35° 18.42' S+149° 11.7' E","149° 11.7' E")</f>
        <v>149° 11.7' E</v>
      </c>
      <c r="I69" s="6" t="s">
        <v>61</v>
      </c>
      <c r="J69" s="6" t="s">
        <v>38</v>
      </c>
      <c r="K69" s="6" t="s">
        <v>39</v>
      </c>
      <c r="L69" s="6" t="s">
        <v>40</v>
      </c>
      <c r="M69" s="6" t="s">
        <v>41</v>
      </c>
      <c r="N69" s="6" t="s">
        <v>62</v>
      </c>
      <c r="O69" s="6" t="s">
        <v>43</v>
      </c>
      <c r="P69" s="8" t="s">
        <v>268</v>
      </c>
      <c r="Q69" s="1" t="s">
        <v>33</v>
      </c>
    </row>
    <row r="70" spans="2:17" ht="33.75" x14ac:dyDescent="0.2">
      <c r="B70" s="6" t="s">
        <v>269</v>
      </c>
      <c r="C70" s="6" t="s">
        <v>270</v>
      </c>
      <c r="D70" s="6" t="s">
        <v>36</v>
      </c>
      <c r="E70" s="6" t="s">
        <v>37</v>
      </c>
      <c r="F70" s="6" t="s">
        <v>90</v>
      </c>
      <c r="G70" s="7" t="str">
        <f>HYPERLINK("https://www.google.com.au/maps/place/36° 4.068' S+146° 57.48' E","36° 4.068' S")</f>
        <v>36° 4.068' S</v>
      </c>
      <c r="H70" s="7" t="str">
        <f>HYPERLINK("https://www.google.com.au/maps/place/36° 4.068' S+146° 57.48' E","146° 57.48' E")</f>
        <v>146° 57.48' E</v>
      </c>
      <c r="I70" s="6" t="s">
        <v>25</v>
      </c>
      <c r="J70" s="6" t="s">
        <v>38</v>
      </c>
      <c r="K70" s="6" t="s">
        <v>39</v>
      </c>
      <c r="L70" s="6" t="s">
        <v>40</v>
      </c>
      <c r="M70" s="6" t="s">
        <v>41</v>
      </c>
      <c r="N70" s="6" t="s">
        <v>62</v>
      </c>
      <c r="O70" s="6" t="s">
        <v>71</v>
      </c>
      <c r="P70" s="8" t="s">
        <v>271</v>
      </c>
      <c r="Q70" s="1" t="s">
        <v>33</v>
      </c>
    </row>
    <row r="71" spans="2:17" ht="33.75" x14ac:dyDescent="0.2">
      <c r="B71" s="6" t="s">
        <v>272</v>
      </c>
      <c r="C71" s="6" t="s">
        <v>273</v>
      </c>
      <c r="D71" s="6" t="s">
        <v>36</v>
      </c>
      <c r="E71" s="6" t="s">
        <v>37</v>
      </c>
      <c r="F71" s="6" t="s">
        <v>187</v>
      </c>
      <c r="G71" s="7" t="str">
        <f>HYPERLINK("https://www.google.com.au/maps/place/31° 26.148' S+152° 51.798' E","31° 26.148' S")</f>
        <v>31° 26.148' S</v>
      </c>
      <c r="H71" s="7" t="str">
        <f>HYPERLINK("https://www.google.com.au/maps/place/31° 26.148' S+152° 51.798' E","152° 51.798' E")</f>
        <v>152° 51.798' E</v>
      </c>
      <c r="I71" s="6" t="s">
        <v>25</v>
      </c>
      <c r="J71" s="6" t="s">
        <v>38</v>
      </c>
      <c r="K71" s="6" t="s">
        <v>39</v>
      </c>
      <c r="L71" s="6" t="s">
        <v>40</v>
      </c>
      <c r="M71" s="6" t="s">
        <v>41</v>
      </c>
      <c r="N71" s="6" t="s">
        <v>102</v>
      </c>
      <c r="O71" s="6" t="s">
        <v>103</v>
      </c>
      <c r="P71" s="8" t="s">
        <v>274</v>
      </c>
      <c r="Q71" s="1" t="s">
        <v>33</v>
      </c>
    </row>
    <row r="72" spans="2:17" ht="33.75" x14ac:dyDescent="0.2">
      <c r="B72" s="6" t="s">
        <v>275</v>
      </c>
      <c r="C72" s="6" t="s">
        <v>276</v>
      </c>
      <c r="D72" s="6" t="s">
        <v>36</v>
      </c>
      <c r="E72" s="6" t="s">
        <v>37</v>
      </c>
      <c r="F72" s="6" t="s">
        <v>277</v>
      </c>
      <c r="G72" s="7" t="str">
        <f>HYPERLINK("https://www.google.com.au/maps/place/33° 59.22' S+150° 58.578' E","33° 59.22' S")</f>
        <v>33° 59.22' S</v>
      </c>
      <c r="H72" s="7" t="str">
        <f>HYPERLINK("https://www.google.com.au/maps/place/33° 59.22' S+150° 58.578' E","150° 58.578' E")</f>
        <v>150° 58.578' E</v>
      </c>
      <c r="I72" s="6" t="s">
        <v>25</v>
      </c>
      <c r="J72" s="6" t="s">
        <v>38</v>
      </c>
      <c r="K72" s="6" t="s">
        <v>39</v>
      </c>
      <c r="L72" s="6" t="s">
        <v>40</v>
      </c>
      <c r="M72" s="6" t="s">
        <v>41</v>
      </c>
      <c r="N72" s="6" t="s">
        <v>42</v>
      </c>
      <c r="O72" s="6" t="s">
        <v>43</v>
      </c>
      <c r="P72" s="8" t="s">
        <v>278</v>
      </c>
      <c r="Q72" s="1" t="s">
        <v>33</v>
      </c>
    </row>
    <row r="73" spans="2:17" ht="33.75" x14ac:dyDescent="0.2">
      <c r="B73" s="6" t="s">
        <v>279</v>
      </c>
      <c r="C73" s="6" t="s">
        <v>280</v>
      </c>
      <c r="D73" s="6" t="s">
        <v>36</v>
      </c>
      <c r="E73" s="6" t="s">
        <v>37</v>
      </c>
      <c r="F73" s="6" t="s">
        <v>281</v>
      </c>
      <c r="G73" s="7" t="str">
        <f>HYPERLINK("https://www.google.com.au/maps/place/34° 3.48' S+150° 30.552' E","34° 3.48' S")</f>
        <v>34° 3.48' S</v>
      </c>
      <c r="H73" s="7" t="str">
        <f>HYPERLINK("https://www.google.com.au/maps/place/34° 3.48' S+150° 30.552' E","150° 30.552' E")</f>
        <v>150° 30.552' E</v>
      </c>
      <c r="I73" s="6" t="s">
        <v>25</v>
      </c>
      <c r="J73" s="6" t="s">
        <v>38</v>
      </c>
      <c r="K73" s="6" t="s">
        <v>39</v>
      </c>
      <c r="L73" s="6" t="s">
        <v>40</v>
      </c>
      <c r="M73" s="6" t="s">
        <v>41</v>
      </c>
      <c r="N73" s="6" t="s">
        <v>42</v>
      </c>
      <c r="O73" s="6" t="s">
        <v>43</v>
      </c>
      <c r="P73" s="8" t="s">
        <v>282</v>
      </c>
      <c r="Q73" s="1" t="s">
        <v>33</v>
      </c>
    </row>
    <row r="74" spans="2:17" ht="33.75" x14ac:dyDescent="0.2">
      <c r="B74" s="6" t="s">
        <v>283</v>
      </c>
      <c r="C74" s="6" t="s">
        <v>284</v>
      </c>
      <c r="D74" s="6" t="s">
        <v>36</v>
      </c>
      <c r="E74" s="6" t="s">
        <v>37</v>
      </c>
      <c r="F74" s="6" t="s">
        <v>24</v>
      </c>
      <c r="G74" s="7" t="str">
        <f>HYPERLINK("https://www.google.com.au/maps/place/33° 56.772' S+151° 10.632' E","33° 56.772' S")</f>
        <v>33° 56.772' S</v>
      </c>
      <c r="H74" s="7" t="str">
        <f>HYPERLINK("https://www.google.com.au/maps/place/33° 56.772' S+151° 10.632' E","151° 10.632' E")</f>
        <v>151° 10.632' E</v>
      </c>
      <c r="I74" s="6" t="s">
        <v>25</v>
      </c>
      <c r="J74" s="6" t="s">
        <v>38</v>
      </c>
      <c r="K74" s="6" t="s">
        <v>39</v>
      </c>
      <c r="L74" s="6" t="s">
        <v>40</v>
      </c>
      <c r="M74" s="6" t="s">
        <v>41</v>
      </c>
      <c r="N74" s="6" t="s">
        <v>42</v>
      </c>
      <c r="O74" s="6" t="s">
        <v>43</v>
      </c>
      <c r="P74" s="8" t="s">
        <v>285</v>
      </c>
      <c r="Q74" s="1" t="s">
        <v>33</v>
      </c>
    </row>
    <row r="75" spans="2:17" ht="56.25" x14ac:dyDescent="0.2">
      <c r="B75" s="6" t="s">
        <v>286</v>
      </c>
      <c r="C75" s="6" t="s">
        <v>287</v>
      </c>
      <c r="D75" s="6" t="s">
        <v>36</v>
      </c>
      <c r="E75" s="6" t="s">
        <v>37</v>
      </c>
      <c r="F75" s="6" t="s">
        <v>24</v>
      </c>
      <c r="G75" s="7" t="str">
        <f>HYPERLINK("https://www.google.com.au/maps/place/33° 56.772' S+151° 10.632' E","33° 56.772' S")</f>
        <v>33° 56.772' S</v>
      </c>
      <c r="H75" s="7" t="str">
        <f>HYPERLINK("https://www.google.com.au/maps/place/33° 56.772' S+151° 10.632' E","151° 10.632' E")</f>
        <v>151° 10.632' E</v>
      </c>
      <c r="I75" s="6" t="s">
        <v>25</v>
      </c>
      <c r="J75" s="6" t="s">
        <v>38</v>
      </c>
      <c r="K75" s="6" t="s">
        <v>39</v>
      </c>
      <c r="L75" s="6" t="s">
        <v>40</v>
      </c>
      <c r="M75" s="6" t="s">
        <v>41</v>
      </c>
      <c r="N75" s="6" t="s">
        <v>62</v>
      </c>
      <c r="O75" s="6" t="s">
        <v>43</v>
      </c>
      <c r="P75" s="8" t="s">
        <v>288</v>
      </c>
      <c r="Q75" s="1" t="s">
        <v>33</v>
      </c>
    </row>
    <row r="76" spans="2:17" ht="33.75" x14ac:dyDescent="0.2">
      <c r="B76" s="6" t="s">
        <v>289</v>
      </c>
      <c r="C76" s="6" t="s">
        <v>290</v>
      </c>
      <c r="D76" s="6" t="s">
        <v>36</v>
      </c>
      <c r="E76" s="6" t="s">
        <v>37</v>
      </c>
      <c r="F76" s="6" t="s">
        <v>60</v>
      </c>
      <c r="G76" s="7" t="str">
        <f>HYPERLINK("https://www.google.com.au/maps/place/35° 18.42' S+149° 11.7' E","35° 18.42' S")</f>
        <v>35° 18.42' S</v>
      </c>
      <c r="H76" s="7" t="str">
        <f>HYPERLINK("https://www.google.com.au/maps/place/35° 18.42' S+149° 11.7' E","149° 11.7' E")</f>
        <v>149° 11.7' E</v>
      </c>
      <c r="I76" s="6" t="s">
        <v>61</v>
      </c>
      <c r="J76" s="6" t="s">
        <v>38</v>
      </c>
      <c r="K76" s="6" t="s">
        <v>39</v>
      </c>
      <c r="L76" s="6" t="s">
        <v>40</v>
      </c>
      <c r="M76" s="6" t="s">
        <v>41</v>
      </c>
      <c r="N76" s="6" t="s">
        <v>62</v>
      </c>
      <c r="O76" s="6" t="s">
        <v>43</v>
      </c>
      <c r="P76" s="8" t="s">
        <v>291</v>
      </c>
      <c r="Q76" s="1" t="s">
        <v>33</v>
      </c>
    </row>
    <row r="77" spans="2:17" ht="56.25" x14ac:dyDescent="0.2">
      <c r="B77" s="6" t="s">
        <v>292</v>
      </c>
      <c r="C77" s="6" t="s">
        <v>293</v>
      </c>
      <c r="D77" s="6" t="s">
        <v>36</v>
      </c>
      <c r="E77" s="6" t="s">
        <v>37</v>
      </c>
      <c r="F77" s="6" t="s">
        <v>294</v>
      </c>
      <c r="G77" s="7" t="str">
        <f>HYPERLINK("https://www.google.com.au/maps/place/31° 47.85' S+151° 31.698' E","31° 47.85' S")</f>
        <v>31° 47.85' S</v>
      </c>
      <c r="H77" s="7" t="str">
        <f>HYPERLINK("https://www.google.com.au/maps/place/31° 47.85' S+151° 31.698' E","151° 31.698' E")</f>
        <v>151° 31.698' E</v>
      </c>
      <c r="I77" s="6" t="s">
        <v>25</v>
      </c>
      <c r="J77" s="6" t="s">
        <v>295</v>
      </c>
      <c r="K77" s="6" t="s">
        <v>296</v>
      </c>
      <c r="L77" s="6" t="s">
        <v>28</v>
      </c>
      <c r="M77" s="6" t="s">
        <v>29</v>
      </c>
      <c r="N77" s="6" t="s">
        <v>86</v>
      </c>
      <c r="O77" s="6" t="s">
        <v>297</v>
      </c>
      <c r="P77" s="8" t="s">
        <v>298</v>
      </c>
      <c r="Q77" s="1" t="s">
        <v>33</v>
      </c>
    </row>
    <row r="78" spans="2:17" ht="33.75" x14ac:dyDescent="0.2">
      <c r="B78" s="6" t="s">
        <v>299</v>
      </c>
      <c r="C78" s="6" t="s">
        <v>300</v>
      </c>
      <c r="D78" s="6" t="s">
        <v>36</v>
      </c>
      <c r="E78" s="6" t="s">
        <v>37</v>
      </c>
      <c r="F78" s="6" t="s">
        <v>301</v>
      </c>
      <c r="G78" s="7" t="str">
        <f>HYPERLINK("https://www.google.com.au/maps/place/33° 58.968' S+150° 48.018' E","33° 58.968' S")</f>
        <v>33° 58.968' S</v>
      </c>
      <c r="H78" s="7" t="str">
        <f>HYPERLINK("https://www.google.com.au/maps/place/33° 58.968' S+150° 48.018' E","150° 48.018' E")</f>
        <v>150° 48.018' E</v>
      </c>
      <c r="I78" s="6" t="s">
        <v>25</v>
      </c>
      <c r="J78" s="6" t="s">
        <v>38</v>
      </c>
      <c r="K78" s="6" t="s">
        <v>39</v>
      </c>
      <c r="L78" s="6" t="s">
        <v>40</v>
      </c>
      <c r="M78" s="6" t="s">
        <v>41</v>
      </c>
      <c r="N78" s="6" t="s">
        <v>42</v>
      </c>
      <c r="O78" s="6" t="s">
        <v>302</v>
      </c>
      <c r="P78" s="8" t="s">
        <v>303</v>
      </c>
      <c r="Q78" s="1" t="s">
        <v>33</v>
      </c>
    </row>
    <row r="79" spans="2:17" ht="33.75" x14ac:dyDescent="0.2">
      <c r="B79" s="6" t="s">
        <v>304</v>
      </c>
      <c r="C79" s="6" t="s">
        <v>305</v>
      </c>
      <c r="D79" s="6" t="s">
        <v>36</v>
      </c>
      <c r="E79" s="6" t="s">
        <v>37</v>
      </c>
      <c r="F79" s="6" t="s">
        <v>60</v>
      </c>
      <c r="G79" s="7" t="str">
        <f>HYPERLINK("https://www.google.com.au/maps/place/35° 18.42' S+149° 11.7' E","35° 18.42' S")</f>
        <v>35° 18.42' S</v>
      </c>
      <c r="H79" s="7" t="str">
        <f>HYPERLINK("https://www.google.com.au/maps/place/35° 18.42' S+149° 11.7' E","149° 11.7' E")</f>
        <v>149° 11.7' E</v>
      </c>
      <c r="I79" s="6" t="s">
        <v>61</v>
      </c>
      <c r="J79" s="6" t="s">
        <v>38</v>
      </c>
      <c r="K79" s="6" t="s">
        <v>39</v>
      </c>
      <c r="L79" s="6" t="s">
        <v>40</v>
      </c>
      <c r="M79" s="6" t="s">
        <v>41</v>
      </c>
      <c r="N79" s="6" t="s">
        <v>62</v>
      </c>
      <c r="O79" s="6" t="s">
        <v>43</v>
      </c>
      <c r="P79" s="8" t="s">
        <v>306</v>
      </c>
      <c r="Q79" s="1" t="s">
        <v>33</v>
      </c>
    </row>
    <row r="80" spans="2:17" ht="45" x14ac:dyDescent="0.2">
      <c r="B80" s="6" t="s">
        <v>307</v>
      </c>
      <c r="C80" s="6" t="s">
        <v>308</v>
      </c>
      <c r="D80" s="6" t="s">
        <v>36</v>
      </c>
      <c r="E80" s="6" t="s">
        <v>37</v>
      </c>
      <c r="F80" s="6" t="s">
        <v>117</v>
      </c>
      <c r="G80" s="7" t="str">
        <f>HYPERLINK("https://www.google.com.au/maps/place/33° 56.772' S+151° 10.632' E","33° 56.772' S")</f>
        <v>33° 56.772' S</v>
      </c>
      <c r="H80" s="7" t="str">
        <f>HYPERLINK("https://www.google.com.au/maps/place/33° 56.772' S+151° 10.632' E","151° 10.632' E")</f>
        <v>151° 10.632' E</v>
      </c>
      <c r="I80" s="6" t="s">
        <v>25</v>
      </c>
      <c r="J80" s="6" t="s">
        <v>38</v>
      </c>
      <c r="K80" s="6" t="s">
        <v>39</v>
      </c>
      <c r="L80" s="6" t="s">
        <v>40</v>
      </c>
      <c r="M80" s="6" t="s">
        <v>41</v>
      </c>
      <c r="N80" s="6" t="s">
        <v>42</v>
      </c>
      <c r="O80" s="6" t="s">
        <v>43</v>
      </c>
      <c r="P80" s="8" t="s">
        <v>309</v>
      </c>
      <c r="Q80" s="1" t="s">
        <v>33</v>
      </c>
    </row>
    <row r="81" spans="2:17" ht="168.75" x14ac:dyDescent="0.2">
      <c r="B81" s="6" t="s">
        <v>310</v>
      </c>
      <c r="C81" s="6" t="s">
        <v>311</v>
      </c>
      <c r="D81" s="6" t="s">
        <v>312</v>
      </c>
      <c r="E81" s="7" t="str">
        <f>HYPERLINK("http://www.atsb.gov.au/publications/investigation_reports/2017/aair/AO-2017-111.aspx","AO-2017-111")</f>
        <v>AO-2017-111</v>
      </c>
      <c r="F81" s="6" t="s">
        <v>60</v>
      </c>
      <c r="G81" s="7" t="str">
        <f>HYPERLINK("https://www.google.com.au/maps/place/35° 18.42' S+149° 11.7' E","35° 18.42' S")</f>
        <v>35° 18.42' S</v>
      </c>
      <c r="H81" s="7" t="str">
        <f>HYPERLINK("https://www.google.com.au/maps/place/35° 18.42' S+149° 11.7' E","149° 11.7' E")</f>
        <v>149° 11.7' E</v>
      </c>
      <c r="I81" s="6" t="s">
        <v>61</v>
      </c>
      <c r="J81" s="6" t="s">
        <v>38</v>
      </c>
      <c r="K81" s="6" t="s">
        <v>39</v>
      </c>
      <c r="L81" s="6" t="s">
        <v>40</v>
      </c>
      <c r="M81" s="6" t="s">
        <v>41</v>
      </c>
      <c r="N81" s="6" t="s">
        <v>62</v>
      </c>
      <c r="O81" s="6" t="s">
        <v>43</v>
      </c>
      <c r="P81" s="8" t="s">
        <v>313</v>
      </c>
      <c r="Q81" s="1" t="s">
        <v>33</v>
      </c>
    </row>
    <row r="82" spans="2:17" ht="33.75" x14ac:dyDescent="0.2">
      <c r="B82" s="6" t="s">
        <v>314</v>
      </c>
      <c r="C82" s="6" t="s">
        <v>315</v>
      </c>
      <c r="D82" s="6" t="s">
        <v>36</v>
      </c>
      <c r="E82" s="6" t="s">
        <v>37</v>
      </c>
      <c r="F82" s="6" t="s">
        <v>60</v>
      </c>
      <c r="G82" s="7" t="str">
        <f>HYPERLINK("https://www.google.com.au/maps/place/35° 18.42' S+149° 11.7' E","35° 18.42' S")</f>
        <v>35° 18.42' S</v>
      </c>
      <c r="H82" s="7" t="str">
        <f>HYPERLINK("https://www.google.com.au/maps/place/35° 18.42' S+149° 11.7' E","149° 11.7' E")</f>
        <v>149° 11.7' E</v>
      </c>
      <c r="I82" s="6" t="s">
        <v>61</v>
      </c>
      <c r="J82" s="6" t="s">
        <v>38</v>
      </c>
      <c r="K82" s="6" t="s">
        <v>39</v>
      </c>
      <c r="L82" s="6" t="s">
        <v>40</v>
      </c>
      <c r="M82" s="6" t="s">
        <v>41</v>
      </c>
      <c r="N82" s="6" t="s">
        <v>62</v>
      </c>
      <c r="O82" s="6" t="s">
        <v>43</v>
      </c>
      <c r="P82" s="8" t="s">
        <v>316</v>
      </c>
      <c r="Q82" s="1" t="s">
        <v>33</v>
      </c>
    </row>
    <row r="83" spans="2:17" ht="33.75" x14ac:dyDescent="0.2">
      <c r="B83" s="6" t="s">
        <v>317</v>
      </c>
      <c r="C83" s="6" t="s">
        <v>318</v>
      </c>
      <c r="D83" s="6" t="s">
        <v>36</v>
      </c>
      <c r="E83" s="6" t="s">
        <v>37</v>
      </c>
      <c r="F83" s="6" t="s">
        <v>24</v>
      </c>
      <c r="G83" s="7" t="str">
        <f>HYPERLINK("https://www.google.com.au/maps/place/33° 56.772' S+151° 10.632' E","33° 56.772' S")</f>
        <v>33° 56.772' S</v>
      </c>
      <c r="H83" s="7" t="str">
        <f>HYPERLINK("https://www.google.com.au/maps/place/33° 56.772' S+151° 10.632' E","151° 10.632' E")</f>
        <v>151° 10.632' E</v>
      </c>
      <c r="I83" s="6" t="s">
        <v>25</v>
      </c>
      <c r="J83" s="6" t="s">
        <v>38</v>
      </c>
      <c r="K83" s="6" t="s">
        <v>39</v>
      </c>
      <c r="L83" s="6" t="s">
        <v>40</v>
      </c>
      <c r="M83" s="6" t="s">
        <v>41</v>
      </c>
      <c r="N83" s="6" t="s">
        <v>62</v>
      </c>
      <c r="O83" s="6" t="s">
        <v>43</v>
      </c>
      <c r="P83" s="8" t="s">
        <v>319</v>
      </c>
      <c r="Q83" s="1" t="s">
        <v>33</v>
      </c>
    </row>
    <row r="84" spans="2:17" ht="33.75" x14ac:dyDescent="0.2">
      <c r="B84" s="6" t="s">
        <v>320</v>
      </c>
      <c r="C84" s="6" t="s">
        <v>321</v>
      </c>
      <c r="D84" s="6" t="s">
        <v>36</v>
      </c>
      <c r="E84" s="6" t="s">
        <v>37</v>
      </c>
      <c r="F84" s="6" t="s">
        <v>24</v>
      </c>
      <c r="G84" s="7" t="str">
        <f>HYPERLINK("https://www.google.com.au/maps/place/33° 56.772' S+151° 10.632' E","33° 56.772' S")</f>
        <v>33° 56.772' S</v>
      </c>
      <c r="H84" s="7" t="str">
        <f>HYPERLINK("https://www.google.com.au/maps/place/33° 56.772' S+151° 10.632' E","151° 10.632' E")</f>
        <v>151° 10.632' E</v>
      </c>
      <c r="I84" s="6" t="s">
        <v>25</v>
      </c>
      <c r="J84" s="6" t="s">
        <v>38</v>
      </c>
      <c r="K84" s="6" t="s">
        <v>39</v>
      </c>
      <c r="L84" s="6" t="s">
        <v>40</v>
      </c>
      <c r="M84" s="6" t="s">
        <v>41</v>
      </c>
      <c r="N84" s="6" t="s">
        <v>62</v>
      </c>
      <c r="O84" s="6" t="s">
        <v>71</v>
      </c>
      <c r="P84" s="8" t="s">
        <v>306</v>
      </c>
      <c r="Q84" s="1" t="s">
        <v>33</v>
      </c>
    </row>
    <row r="85" spans="2:17" ht="33.75" x14ac:dyDescent="0.2">
      <c r="B85" s="6" t="s">
        <v>322</v>
      </c>
      <c r="C85" s="6" t="s">
        <v>323</v>
      </c>
      <c r="D85" s="6" t="s">
        <v>36</v>
      </c>
      <c r="E85" s="6" t="s">
        <v>37</v>
      </c>
      <c r="F85" s="6" t="s">
        <v>324</v>
      </c>
      <c r="G85" s="7" t="str">
        <f>HYPERLINK("https://www.google.com.au/maps/place/33° 37.2' S+151° 15.822' E","33° 37.2' S")</f>
        <v>33° 37.2' S</v>
      </c>
      <c r="H85" s="7" t="str">
        <f>HYPERLINK("https://www.google.com.au/maps/place/33° 37.2' S+151° 15.822' E","151° 15.822' E")</f>
        <v>151° 15.822' E</v>
      </c>
      <c r="I85" s="6" t="s">
        <v>25</v>
      </c>
      <c r="J85" s="6" t="s">
        <v>38</v>
      </c>
      <c r="K85" s="6" t="s">
        <v>39</v>
      </c>
      <c r="L85" s="6" t="s">
        <v>40</v>
      </c>
      <c r="M85" s="6" t="s">
        <v>41</v>
      </c>
      <c r="N85" s="6" t="s">
        <v>42</v>
      </c>
      <c r="O85" s="6" t="s">
        <v>43</v>
      </c>
      <c r="P85" s="8" t="s">
        <v>325</v>
      </c>
      <c r="Q85" s="1" t="s">
        <v>33</v>
      </c>
    </row>
    <row r="86" spans="2:17" ht="67.5" x14ac:dyDescent="0.2">
      <c r="B86" s="6" t="s">
        <v>326</v>
      </c>
      <c r="C86" s="6" t="s">
        <v>327</v>
      </c>
      <c r="D86" s="6" t="s">
        <v>36</v>
      </c>
      <c r="E86" s="6" t="s">
        <v>37</v>
      </c>
      <c r="F86" s="6" t="s">
        <v>24</v>
      </c>
      <c r="G86" s="7" t="str">
        <f>HYPERLINK("https://www.google.com.au/maps/place/33° 56.772' S+151° 10.632' E","33° 56.772' S")</f>
        <v>33° 56.772' S</v>
      </c>
      <c r="H86" s="7" t="str">
        <f>HYPERLINK("https://www.google.com.au/maps/place/33° 56.772' S+151° 10.632' E","151° 10.632' E")</f>
        <v>151° 10.632' E</v>
      </c>
      <c r="I86" s="6" t="s">
        <v>25</v>
      </c>
      <c r="J86" s="6" t="s">
        <v>26</v>
      </c>
      <c r="K86" s="6" t="s">
        <v>85</v>
      </c>
      <c r="L86" s="6" t="s">
        <v>28</v>
      </c>
      <c r="M86" s="6" t="s">
        <v>54</v>
      </c>
      <c r="N86" s="6" t="s">
        <v>86</v>
      </c>
      <c r="O86" s="6" t="s">
        <v>31</v>
      </c>
      <c r="P86" s="8" t="s">
        <v>328</v>
      </c>
      <c r="Q86" s="1" t="s">
        <v>33</v>
      </c>
    </row>
    <row r="87" spans="2:17" ht="33.75" x14ac:dyDescent="0.2">
      <c r="B87" s="6" t="s">
        <v>329</v>
      </c>
      <c r="C87" s="6" t="s">
        <v>330</v>
      </c>
      <c r="D87" s="6" t="s">
        <v>36</v>
      </c>
      <c r="E87" s="6" t="s">
        <v>37</v>
      </c>
      <c r="F87" s="6" t="s">
        <v>69</v>
      </c>
      <c r="G87" s="7" t="str">
        <f>HYPERLINK("https://www.google.com.au/maps/place/31° 5.028' S+150° 50.802' E","31° 5.028' S")</f>
        <v>31° 5.028' S</v>
      </c>
      <c r="H87" s="7" t="str">
        <f>HYPERLINK("https://www.google.com.au/maps/place/31° 5.028' S+150° 50.802' E","150° 50.802' E")</f>
        <v>150° 50.802' E</v>
      </c>
      <c r="I87" s="6" t="s">
        <v>25</v>
      </c>
      <c r="J87" s="6" t="s">
        <v>38</v>
      </c>
      <c r="K87" s="6" t="s">
        <v>39</v>
      </c>
      <c r="L87" s="6" t="s">
        <v>40</v>
      </c>
      <c r="M87" s="6" t="s">
        <v>41</v>
      </c>
      <c r="N87" s="6" t="s">
        <v>62</v>
      </c>
      <c r="O87" s="6" t="s">
        <v>71</v>
      </c>
      <c r="P87" s="8" t="s">
        <v>331</v>
      </c>
      <c r="Q87" s="1" t="s">
        <v>33</v>
      </c>
    </row>
    <row r="88" spans="2:17" ht="33.75" x14ac:dyDescent="0.2">
      <c r="B88" s="6" t="s">
        <v>332</v>
      </c>
      <c r="C88" s="6" t="s">
        <v>333</v>
      </c>
      <c r="D88" s="6" t="s">
        <v>36</v>
      </c>
      <c r="E88" s="6" t="s">
        <v>37</v>
      </c>
      <c r="F88" s="6" t="s">
        <v>69</v>
      </c>
      <c r="G88" s="7" t="str">
        <f>HYPERLINK("https://www.google.com.au/maps/place/31° 5.028' S+150° 50.802' E","31° 5.028' S")</f>
        <v>31° 5.028' S</v>
      </c>
      <c r="H88" s="7" t="str">
        <f>HYPERLINK("https://www.google.com.au/maps/place/31° 5.028' S+150° 50.802' E","150° 50.802' E")</f>
        <v>150° 50.802' E</v>
      </c>
      <c r="I88" s="6" t="s">
        <v>25</v>
      </c>
      <c r="J88" s="6" t="s">
        <v>38</v>
      </c>
      <c r="K88" s="6" t="s">
        <v>39</v>
      </c>
      <c r="L88" s="6" t="s">
        <v>40</v>
      </c>
      <c r="M88" s="6" t="s">
        <v>41</v>
      </c>
      <c r="N88" s="6" t="s">
        <v>62</v>
      </c>
      <c r="O88" s="6" t="s">
        <v>71</v>
      </c>
      <c r="P88" s="8" t="s">
        <v>306</v>
      </c>
      <c r="Q88" s="1" t="s">
        <v>33</v>
      </c>
    </row>
    <row r="89" spans="2:17" ht="67.5" x14ac:dyDescent="0.2">
      <c r="B89" s="6" t="s">
        <v>334</v>
      </c>
      <c r="C89" s="6" t="s">
        <v>335</v>
      </c>
      <c r="D89" s="6" t="s">
        <v>36</v>
      </c>
      <c r="E89" s="6" t="s">
        <v>37</v>
      </c>
      <c r="F89" s="6" t="s">
        <v>24</v>
      </c>
      <c r="G89" s="7" t="str">
        <f>HYPERLINK("https://www.google.com.au/maps/place/33° 56.772' S+151° 10.632' E","33° 56.772' S")</f>
        <v>33° 56.772' S</v>
      </c>
      <c r="H89" s="7" t="str">
        <f>HYPERLINK("https://www.google.com.au/maps/place/33° 56.772' S+151° 10.632' E","151° 10.632' E")</f>
        <v>151° 10.632' E</v>
      </c>
      <c r="I89" s="6" t="s">
        <v>25</v>
      </c>
      <c r="J89" s="6" t="s">
        <v>26</v>
      </c>
      <c r="K89" s="6" t="s">
        <v>85</v>
      </c>
      <c r="L89" s="6" t="s">
        <v>28</v>
      </c>
      <c r="M89" s="6" t="s">
        <v>29</v>
      </c>
      <c r="N89" s="6" t="s">
        <v>128</v>
      </c>
      <c r="O89" s="6" t="s">
        <v>31</v>
      </c>
      <c r="P89" s="8" t="s">
        <v>336</v>
      </c>
      <c r="Q89" s="1" t="s">
        <v>33</v>
      </c>
    </row>
    <row r="90" spans="2:17" ht="33.75" x14ac:dyDescent="0.2">
      <c r="B90" s="6" t="s">
        <v>334</v>
      </c>
      <c r="C90" s="6" t="s">
        <v>337</v>
      </c>
      <c r="D90" s="6" t="s">
        <v>36</v>
      </c>
      <c r="E90" s="6" t="s">
        <v>37</v>
      </c>
      <c r="F90" s="6" t="s">
        <v>24</v>
      </c>
      <c r="G90" s="7" t="str">
        <f>HYPERLINK("https://www.google.com.au/maps/place/33° 56.772' S+151° 10.632' E","33° 56.772' S")</f>
        <v>33° 56.772' S</v>
      </c>
      <c r="H90" s="7" t="str">
        <f>HYPERLINK("https://www.google.com.au/maps/place/33° 56.772' S+151° 10.632' E","151° 10.632' E")</f>
        <v>151° 10.632' E</v>
      </c>
      <c r="I90" s="6" t="s">
        <v>25</v>
      </c>
      <c r="J90" s="6" t="s">
        <v>38</v>
      </c>
      <c r="K90" s="6" t="s">
        <v>39</v>
      </c>
      <c r="L90" s="6" t="s">
        <v>40</v>
      </c>
      <c r="M90" s="6" t="s">
        <v>41</v>
      </c>
      <c r="N90" s="6" t="s">
        <v>42</v>
      </c>
      <c r="O90" s="6" t="s">
        <v>43</v>
      </c>
      <c r="P90" s="8" t="s">
        <v>338</v>
      </c>
      <c r="Q90" s="1" t="s">
        <v>33</v>
      </c>
    </row>
    <row r="91" spans="2:17" ht="78.75" x14ac:dyDescent="0.2">
      <c r="B91" s="6" t="s">
        <v>339</v>
      </c>
      <c r="C91" s="6" t="s">
        <v>340</v>
      </c>
      <c r="D91" s="6" t="s">
        <v>36</v>
      </c>
      <c r="E91" s="6" t="s">
        <v>37</v>
      </c>
      <c r="F91" s="6" t="s">
        <v>24</v>
      </c>
      <c r="G91" s="7" t="str">
        <f>HYPERLINK("https://www.google.com.au/maps/place/33° 56.772' S+151° 10.632' E","33° 56.772' S")</f>
        <v>33° 56.772' S</v>
      </c>
      <c r="H91" s="7" t="str">
        <f>HYPERLINK("https://www.google.com.au/maps/place/33° 56.772' S+151° 10.632' E","151° 10.632' E")</f>
        <v>151° 10.632' E</v>
      </c>
      <c r="I91" s="6" t="s">
        <v>25</v>
      </c>
      <c r="J91" s="6" t="s">
        <v>341</v>
      </c>
      <c r="K91" s="6" t="s">
        <v>342</v>
      </c>
      <c r="L91" s="6" t="s">
        <v>28</v>
      </c>
      <c r="M91" s="6" t="s">
        <v>29</v>
      </c>
      <c r="N91" s="6" t="s">
        <v>86</v>
      </c>
      <c r="O91" s="6" t="s">
        <v>31</v>
      </c>
      <c r="P91" s="8" t="s">
        <v>343</v>
      </c>
      <c r="Q91" s="1" t="s">
        <v>33</v>
      </c>
    </row>
    <row r="92" spans="2:17" ht="33.75" x14ac:dyDescent="0.2">
      <c r="B92" s="6" t="s">
        <v>344</v>
      </c>
      <c r="C92" s="6" t="s">
        <v>345</v>
      </c>
      <c r="D92" s="6" t="s">
        <v>36</v>
      </c>
      <c r="E92" s="6" t="s">
        <v>37</v>
      </c>
      <c r="F92" s="6" t="s">
        <v>346</v>
      </c>
      <c r="G92" s="7" t="str">
        <f>HYPERLINK("https://www.google.com.au/maps/place/27° 23.052' S+153° 7.05' E","27° 23.052' S")</f>
        <v>27° 23.052' S</v>
      </c>
      <c r="H92" s="7" t="str">
        <f>HYPERLINK("https://www.google.com.au/maps/place/27° 23.052' S+153° 7.05' E","153° 7.05' E")</f>
        <v>153° 7.05' E</v>
      </c>
      <c r="I92" s="6" t="s">
        <v>101</v>
      </c>
      <c r="J92" s="6" t="s">
        <v>38</v>
      </c>
      <c r="K92" s="6" t="s">
        <v>39</v>
      </c>
      <c r="L92" s="6" t="s">
        <v>40</v>
      </c>
      <c r="M92" s="6" t="s">
        <v>41</v>
      </c>
      <c r="N92" s="6" t="s">
        <v>42</v>
      </c>
      <c r="O92" s="6" t="s">
        <v>302</v>
      </c>
      <c r="P92" s="8" t="s">
        <v>347</v>
      </c>
      <c r="Q92" s="1" t="s">
        <v>33</v>
      </c>
    </row>
    <row r="93" spans="2:17" ht="67.5" x14ac:dyDescent="0.2">
      <c r="B93" s="6" t="s">
        <v>348</v>
      </c>
      <c r="C93" s="6" t="s">
        <v>349</v>
      </c>
      <c r="D93" s="6" t="s">
        <v>36</v>
      </c>
      <c r="E93" s="6" t="s">
        <v>37</v>
      </c>
      <c r="F93" s="6" t="s">
        <v>117</v>
      </c>
      <c r="G93" s="7" t="str">
        <f>HYPERLINK("https://www.google.com.au/maps/place/33° 56.772' S+151° 10.632' E","33° 56.772' S")</f>
        <v>33° 56.772' S</v>
      </c>
      <c r="H93" s="7" t="str">
        <f>HYPERLINK("https://www.google.com.au/maps/place/33° 56.772' S+151° 10.632' E","151° 10.632' E")</f>
        <v>151° 10.632' E</v>
      </c>
      <c r="I93" s="6" t="s">
        <v>25</v>
      </c>
      <c r="J93" s="6" t="s">
        <v>26</v>
      </c>
      <c r="K93" s="6" t="s">
        <v>85</v>
      </c>
      <c r="L93" s="6" t="s">
        <v>28</v>
      </c>
      <c r="M93" s="6" t="s">
        <v>29</v>
      </c>
      <c r="N93" s="6" t="s">
        <v>128</v>
      </c>
      <c r="O93" s="6" t="s">
        <v>31</v>
      </c>
      <c r="P93" s="8" t="s">
        <v>350</v>
      </c>
      <c r="Q93" s="1" t="s">
        <v>33</v>
      </c>
    </row>
    <row r="94" spans="2:17" ht="67.5" x14ac:dyDescent="0.2">
      <c r="B94" s="6" t="s">
        <v>348</v>
      </c>
      <c r="C94" s="6" t="s">
        <v>351</v>
      </c>
      <c r="D94" s="6" t="s">
        <v>36</v>
      </c>
      <c r="E94" s="6" t="s">
        <v>37</v>
      </c>
      <c r="F94" s="6" t="s">
        <v>117</v>
      </c>
      <c r="G94" s="7" t="str">
        <f>HYPERLINK("https://www.google.com.au/maps/place/33° 56.772' S+151° 10.632' E","33° 56.772' S")</f>
        <v>33° 56.772' S</v>
      </c>
      <c r="H94" s="7" t="str">
        <f>HYPERLINK("https://www.google.com.au/maps/place/33° 56.772' S+151° 10.632' E","151° 10.632' E")</f>
        <v>151° 10.632' E</v>
      </c>
      <c r="I94" s="6" t="s">
        <v>25</v>
      </c>
      <c r="J94" s="6" t="s">
        <v>26</v>
      </c>
      <c r="K94" s="6" t="s">
        <v>85</v>
      </c>
      <c r="L94" s="6" t="s">
        <v>28</v>
      </c>
      <c r="M94" s="6" t="s">
        <v>29</v>
      </c>
      <c r="N94" s="6" t="s">
        <v>128</v>
      </c>
      <c r="O94" s="6" t="s">
        <v>31</v>
      </c>
      <c r="P94" s="8" t="s">
        <v>350</v>
      </c>
      <c r="Q94" s="1" t="s">
        <v>33</v>
      </c>
    </row>
    <row r="95" spans="2:17" ht="67.5" x14ac:dyDescent="0.2">
      <c r="B95" s="6" t="s">
        <v>352</v>
      </c>
      <c r="C95" s="6" t="s">
        <v>353</v>
      </c>
      <c r="D95" s="6" t="s">
        <v>36</v>
      </c>
      <c r="E95" s="6" t="s">
        <v>37</v>
      </c>
      <c r="F95" s="6" t="s">
        <v>69</v>
      </c>
      <c r="G95" s="7" t="str">
        <f>HYPERLINK("https://www.google.com.au/maps/place/31° 5.028' S+150° 50.802' E","31° 5.028' S")</f>
        <v>31° 5.028' S</v>
      </c>
      <c r="H95" s="7" t="str">
        <f>HYPERLINK("https://www.google.com.au/maps/place/31° 5.028' S+150° 50.802' E","150° 50.802' E")</f>
        <v>150° 50.802' E</v>
      </c>
      <c r="I95" s="6" t="s">
        <v>25</v>
      </c>
      <c r="J95" s="6" t="s">
        <v>354</v>
      </c>
      <c r="K95" s="6" t="s">
        <v>355</v>
      </c>
      <c r="L95" s="6" t="s">
        <v>53</v>
      </c>
      <c r="M95" s="6" t="s">
        <v>54</v>
      </c>
      <c r="N95" s="6" t="s">
        <v>128</v>
      </c>
      <c r="O95" s="6" t="s">
        <v>94</v>
      </c>
      <c r="P95" s="8" t="s">
        <v>356</v>
      </c>
      <c r="Q95" s="1" t="s">
        <v>33</v>
      </c>
    </row>
    <row r="96" spans="2:17" ht="67.5" x14ac:dyDescent="0.2">
      <c r="B96" s="6" t="s">
        <v>352</v>
      </c>
      <c r="C96" s="6" t="s">
        <v>357</v>
      </c>
      <c r="D96" s="6" t="s">
        <v>36</v>
      </c>
      <c r="E96" s="6" t="s">
        <v>37</v>
      </c>
      <c r="F96" s="6" t="s">
        <v>24</v>
      </c>
      <c r="G96" s="7" t="str">
        <f>HYPERLINK("https://www.google.com.au/maps/place/33° 56.772' S+151° 10.632' E","33° 56.772' S")</f>
        <v>33° 56.772' S</v>
      </c>
      <c r="H96" s="7" t="str">
        <f>HYPERLINK("https://www.google.com.au/maps/place/33° 56.772' S+151° 10.632' E","151° 10.632' E")</f>
        <v>151° 10.632' E</v>
      </c>
      <c r="I96" s="6" t="s">
        <v>25</v>
      </c>
      <c r="J96" s="6" t="s">
        <v>358</v>
      </c>
      <c r="K96" s="6" t="s">
        <v>359</v>
      </c>
      <c r="L96" s="6" t="s">
        <v>28</v>
      </c>
      <c r="M96" s="6" t="s">
        <v>29</v>
      </c>
      <c r="N96" s="6" t="s">
        <v>86</v>
      </c>
      <c r="O96" s="6" t="s">
        <v>31</v>
      </c>
      <c r="P96" s="8" t="s">
        <v>360</v>
      </c>
      <c r="Q96" s="1" t="s">
        <v>33</v>
      </c>
    </row>
    <row r="97" spans="2:17" ht="33.75" x14ac:dyDescent="0.2">
      <c r="B97" s="6" t="s">
        <v>361</v>
      </c>
      <c r="C97" s="6" t="s">
        <v>362</v>
      </c>
      <c r="D97" s="6" t="s">
        <v>36</v>
      </c>
      <c r="E97" s="6" t="s">
        <v>37</v>
      </c>
      <c r="F97" s="6" t="s">
        <v>363</v>
      </c>
      <c r="G97" s="7" t="str">
        <f>HYPERLINK("https://www.google.com.au/maps/place/31° 5.028' S+150° 50.802' E","31° 5.028' S")</f>
        <v>31° 5.028' S</v>
      </c>
      <c r="H97" s="7" t="str">
        <f>HYPERLINK("https://www.google.com.au/maps/place/31° 5.028' S+150° 50.802' E","150° 50.802' E")</f>
        <v>150° 50.802' E</v>
      </c>
      <c r="I97" s="6" t="s">
        <v>25</v>
      </c>
      <c r="J97" s="6" t="s">
        <v>38</v>
      </c>
      <c r="K97" s="6" t="s">
        <v>39</v>
      </c>
      <c r="L97" s="6" t="s">
        <v>40</v>
      </c>
      <c r="M97" s="6" t="s">
        <v>41</v>
      </c>
      <c r="N97" s="6" t="s">
        <v>364</v>
      </c>
      <c r="O97" s="6" t="s">
        <v>103</v>
      </c>
      <c r="P97" s="8" t="s">
        <v>365</v>
      </c>
      <c r="Q97" s="1" t="s">
        <v>33</v>
      </c>
    </row>
    <row r="98" spans="2:17" ht="33.75" x14ac:dyDescent="0.2">
      <c r="B98" s="6" t="s">
        <v>366</v>
      </c>
      <c r="C98" s="6" t="s">
        <v>367</v>
      </c>
      <c r="D98" s="6" t="s">
        <v>36</v>
      </c>
      <c r="E98" s="6" t="s">
        <v>37</v>
      </c>
      <c r="F98" s="6" t="s">
        <v>60</v>
      </c>
      <c r="G98" s="7" t="str">
        <f>HYPERLINK("https://www.google.com.au/maps/place/35° 18.42' S+149° 11.7' E","35° 18.42' S")</f>
        <v>35° 18.42' S</v>
      </c>
      <c r="H98" s="7" t="str">
        <f>HYPERLINK("https://www.google.com.au/maps/place/35° 18.42' S+149° 11.7' E","149° 11.7' E")</f>
        <v>149° 11.7' E</v>
      </c>
      <c r="I98" s="6" t="s">
        <v>61</v>
      </c>
      <c r="J98" s="6" t="s">
        <v>38</v>
      </c>
      <c r="K98" s="6" t="s">
        <v>39</v>
      </c>
      <c r="L98" s="6" t="s">
        <v>40</v>
      </c>
      <c r="M98" s="6" t="s">
        <v>41</v>
      </c>
      <c r="N98" s="6" t="s">
        <v>62</v>
      </c>
      <c r="O98" s="6" t="s">
        <v>43</v>
      </c>
      <c r="P98" s="8" t="s">
        <v>368</v>
      </c>
      <c r="Q98" s="1" t="s">
        <v>33</v>
      </c>
    </row>
    <row r="99" spans="2:17" ht="33.75" x14ac:dyDescent="0.2">
      <c r="B99" s="6" t="s">
        <v>369</v>
      </c>
      <c r="C99" s="6" t="s">
        <v>370</v>
      </c>
      <c r="D99" s="6" t="s">
        <v>36</v>
      </c>
      <c r="E99" s="6" t="s">
        <v>37</v>
      </c>
      <c r="F99" s="6" t="s">
        <v>371</v>
      </c>
      <c r="G99" s="7" t="str">
        <f>HYPERLINK("https://www.google.com.au/maps/place/22° 9.222' S+148° 19.578' E","22° 9.222' S")</f>
        <v>22° 9.222' S</v>
      </c>
      <c r="H99" s="7" t="str">
        <f>HYPERLINK("https://www.google.com.au/maps/place/22° 9.222' S+148° 19.578' E","148° 19.578' E")</f>
        <v>148° 19.578' E</v>
      </c>
      <c r="I99" s="6" t="s">
        <v>101</v>
      </c>
      <c r="J99" s="6" t="s">
        <v>38</v>
      </c>
      <c r="K99" s="6" t="s">
        <v>39</v>
      </c>
      <c r="L99" s="6" t="s">
        <v>40</v>
      </c>
      <c r="M99" s="6" t="s">
        <v>41</v>
      </c>
      <c r="N99" s="6" t="s">
        <v>102</v>
      </c>
      <c r="O99" s="6" t="s">
        <v>103</v>
      </c>
      <c r="P99" s="8" t="s">
        <v>372</v>
      </c>
      <c r="Q99" s="1" t="s">
        <v>33</v>
      </c>
    </row>
    <row r="100" spans="2:17" ht="56.25" x14ac:dyDescent="0.2">
      <c r="B100" s="6" t="s">
        <v>373</v>
      </c>
      <c r="C100" s="6" t="s">
        <v>374</v>
      </c>
      <c r="D100" s="6" t="s">
        <v>36</v>
      </c>
      <c r="E100" s="6" t="s">
        <v>37</v>
      </c>
      <c r="F100" s="6" t="s">
        <v>24</v>
      </c>
      <c r="G100" s="7" t="str">
        <f>HYPERLINK("https://www.google.com.au/maps/place/33° 56.772' S+151° 10.632' E","33° 56.772' S")</f>
        <v>33° 56.772' S</v>
      </c>
      <c r="H100" s="7" t="str">
        <f>HYPERLINK("https://www.google.com.au/maps/place/33° 56.772' S+151° 10.632' E","151° 10.632' E")</f>
        <v>151° 10.632' E</v>
      </c>
      <c r="I100" s="6" t="s">
        <v>25</v>
      </c>
      <c r="J100" s="6" t="s">
        <v>137</v>
      </c>
      <c r="K100" s="6" t="s">
        <v>138</v>
      </c>
      <c r="L100" s="6" t="s">
        <v>28</v>
      </c>
      <c r="M100" s="6" t="s">
        <v>29</v>
      </c>
      <c r="N100" s="6" t="s">
        <v>128</v>
      </c>
      <c r="O100" s="6" t="s">
        <v>31</v>
      </c>
      <c r="P100" s="8" t="s">
        <v>375</v>
      </c>
      <c r="Q100" s="1" t="s">
        <v>33</v>
      </c>
    </row>
    <row r="101" spans="2:17" ht="33.75" x14ac:dyDescent="0.2">
      <c r="B101" s="6" t="s">
        <v>376</v>
      </c>
      <c r="C101" s="6" t="s">
        <v>377</v>
      </c>
      <c r="D101" s="6" t="s">
        <v>36</v>
      </c>
      <c r="E101" s="6" t="s">
        <v>37</v>
      </c>
      <c r="F101" s="6" t="s">
        <v>378</v>
      </c>
      <c r="G101" s="7" t="str">
        <f>HYPERLINK("https://www.google.com.au/maps/place/22° 3.468' S+148° 4.65' E","22° 3.468' S")</f>
        <v>22° 3.468' S</v>
      </c>
      <c r="H101" s="7" t="str">
        <f>HYPERLINK("https://www.google.com.au/maps/place/22° 3.468' S+148° 4.65' E","148° 4.65' E")</f>
        <v>148° 4.65' E</v>
      </c>
      <c r="I101" s="6" t="s">
        <v>101</v>
      </c>
      <c r="J101" s="6" t="s">
        <v>38</v>
      </c>
      <c r="K101" s="6" t="s">
        <v>39</v>
      </c>
      <c r="L101" s="6" t="s">
        <v>40</v>
      </c>
      <c r="M101" s="6" t="s">
        <v>41</v>
      </c>
      <c r="N101" s="6" t="s">
        <v>102</v>
      </c>
      <c r="O101" s="6" t="s">
        <v>103</v>
      </c>
      <c r="P101" s="8" t="s">
        <v>379</v>
      </c>
      <c r="Q101" s="1" t="s">
        <v>33</v>
      </c>
    </row>
    <row r="102" spans="2:17" ht="33.75" x14ac:dyDescent="0.2">
      <c r="B102" s="6" t="s">
        <v>380</v>
      </c>
      <c r="C102" s="6" t="s">
        <v>381</v>
      </c>
      <c r="D102" s="6" t="s">
        <v>36</v>
      </c>
      <c r="E102" s="6" t="s">
        <v>37</v>
      </c>
      <c r="F102" s="6" t="s">
        <v>60</v>
      </c>
      <c r="G102" s="7" t="str">
        <f>HYPERLINK("https://www.google.com.au/maps/place/35° 18.42' S+149° 11.7' E","35° 18.42' S")</f>
        <v>35° 18.42' S</v>
      </c>
      <c r="H102" s="7" t="str">
        <f>HYPERLINK("https://www.google.com.au/maps/place/35° 18.42' S+149° 11.7' E","149° 11.7' E")</f>
        <v>149° 11.7' E</v>
      </c>
      <c r="I102" s="6" t="s">
        <v>61</v>
      </c>
      <c r="J102" s="6" t="s">
        <v>38</v>
      </c>
      <c r="K102" s="6" t="s">
        <v>39</v>
      </c>
      <c r="L102" s="6" t="s">
        <v>40</v>
      </c>
      <c r="M102" s="6" t="s">
        <v>41</v>
      </c>
      <c r="N102" s="6" t="s">
        <v>62</v>
      </c>
      <c r="O102" s="6" t="s">
        <v>43</v>
      </c>
      <c r="P102" s="8" t="s">
        <v>382</v>
      </c>
      <c r="Q102" s="1" t="s">
        <v>33</v>
      </c>
    </row>
    <row r="103" spans="2:17" ht="33.75" x14ac:dyDescent="0.2">
      <c r="B103" s="6" t="s">
        <v>383</v>
      </c>
      <c r="C103" s="6" t="s">
        <v>384</v>
      </c>
      <c r="D103" s="6" t="s">
        <v>36</v>
      </c>
      <c r="E103" s="6" t="s">
        <v>37</v>
      </c>
      <c r="F103" s="6" t="s">
        <v>385</v>
      </c>
      <c r="G103" s="7" t="str">
        <f>HYPERLINK("https://www.google.com.au/maps/place/33° 49.818' S+151° 9.528' E","33° 49.818' S")</f>
        <v>33° 49.818' S</v>
      </c>
      <c r="H103" s="7" t="str">
        <f>HYPERLINK("https://www.google.com.au/maps/place/33° 49.818' S+151° 9.528' E","151° 9.528' E")</f>
        <v>151° 9.528' E</v>
      </c>
      <c r="I103" s="6" t="s">
        <v>25</v>
      </c>
      <c r="J103" s="6" t="s">
        <v>38</v>
      </c>
      <c r="K103" s="6" t="s">
        <v>39</v>
      </c>
      <c r="L103" s="6" t="s">
        <v>40</v>
      </c>
      <c r="M103" s="6" t="s">
        <v>41</v>
      </c>
      <c r="N103" s="6" t="s">
        <v>42</v>
      </c>
      <c r="O103" s="6" t="s">
        <v>43</v>
      </c>
      <c r="P103" s="8" t="s">
        <v>386</v>
      </c>
      <c r="Q103" s="1" t="s">
        <v>33</v>
      </c>
    </row>
    <row r="104" spans="2:17" ht="56.25" x14ac:dyDescent="0.2">
      <c r="B104" s="6" t="s">
        <v>387</v>
      </c>
      <c r="C104" s="6" t="s">
        <v>388</v>
      </c>
      <c r="D104" s="6" t="s">
        <v>36</v>
      </c>
      <c r="E104" s="6" t="s">
        <v>37</v>
      </c>
      <c r="F104" s="6" t="s">
        <v>389</v>
      </c>
      <c r="G104" s="7" t="str">
        <f>HYPERLINK("https://www.google.com.au/maps/place/33° 49.92' S+151° 12.45' E","33° 49.92' S")</f>
        <v>33° 49.92' S</v>
      </c>
      <c r="H104" s="7" t="str">
        <f>HYPERLINK("https://www.google.com.au/maps/place/33° 49.92' S+151° 12.45' E","151° 12.45' E")</f>
        <v>151° 12.45' E</v>
      </c>
      <c r="I104" s="6" t="s">
        <v>25</v>
      </c>
      <c r="J104" s="6" t="s">
        <v>295</v>
      </c>
      <c r="K104" s="6" t="s">
        <v>390</v>
      </c>
      <c r="L104" s="6" t="s">
        <v>391</v>
      </c>
      <c r="M104" s="6" t="s">
        <v>392</v>
      </c>
      <c r="N104" s="6" t="s">
        <v>86</v>
      </c>
      <c r="O104" s="6" t="s">
        <v>31</v>
      </c>
      <c r="P104" s="8" t="s">
        <v>393</v>
      </c>
      <c r="Q104" s="1" t="s">
        <v>33</v>
      </c>
    </row>
    <row r="105" spans="2:17" ht="33.75" x14ac:dyDescent="0.2">
      <c r="B105" s="6" t="s">
        <v>394</v>
      </c>
      <c r="C105" s="6" t="s">
        <v>395</v>
      </c>
      <c r="D105" s="6" t="s">
        <v>36</v>
      </c>
      <c r="E105" s="6" t="s">
        <v>37</v>
      </c>
      <c r="F105" s="6" t="s">
        <v>187</v>
      </c>
      <c r="G105" s="7" t="str">
        <f>HYPERLINK("https://www.google.com.au/maps/place/31° 26.148' S+152° 51.798' E","31° 26.148' S")</f>
        <v>31° 26.148' S</v>
      </c>
      <c r="H105" s="7" t="str">
        <f>HYPERLINK("https://www.google.com.au/maps/place/31° 26.148' S+152° 51.798' E","152° 51.798' E")</f>
        <v>152° 51.798' E</v>
      </c>
      <c r="I105" s="6" t="s">
        <v>25</v>
      </c>
      <c r="J105" s="6" t="s">
        <v>38</v>
      </c>
      <c r="K105" s="6" t="s">
        <v>39</v>
      </c>
      <c r="L105" s="6" t="s">
        <v>40</v>
      </c>
      <c r="M105" s="6" t="s">
        <v>41</v>
      </c>
      <c r="N105" s="6" t="s">
        <v>102</v>
      </c>
      <c r="O105" s="6" t="s">
        <v>103</v>
      </c>
      <c r="P105" s="8" t="s">
        <v>396</v>
      </c>
      <c r="Q105" s="1" t="s">
        <v>33</v>
      </c>
    </row>
    <row r="106" spans="2:17" ht="67.5" x14ac:dyDescent="0.2">
      <c r="B106" s="6" t="s">
        <v>397</v>
      </c>
      <c r="C106" s="6" t="s">
        <v>398</v>
      </c>
      <c r="D106" s="6" t="s">
        <v>36</v>
      </c>
      <c r="E106" s="6" t="s">
        <v>37</v>
      </c>
      <c r="F106" s="6" t="s">
        <v>24</v>
      </c>
      <c r="G106" s="7" t="str">
        <f>HYPERLINK("https://www.google.com.au/maps/place/33° 56.772' S+151° 10.632' E","33° 56.772' S")</f>
        <v>33° 56.772' S</v>
      </c>
      <c r="H106" s="7" t="str">
        <f>HYPERLINK("https://www.google.com.au/maps/place/33° 56.772' S+151° 10.632' E","151° 10.632' E")</f>
        <v>151° 10.632' E</v>
      </c>
      <c r="I106" s="6" t="s">
        <v>25</v>
      </c>
      <c r="J106" s="6" t="s">
        <v>26</v>
      </c>
      <c r="K106" s="6" t="s">
        <v>85</v>
      </c>
      <c r="L106" s="6" t="s">
        <v>28</v>
      </c>
      <c r="M106" s="6" t="s">
        <v>29</v>
      </c>
      <c r="N106" s="6" t="s">
        <v>128</v>
      </c>
      <c r="O106" s="6" t="s">
        <v>31</v>
      </c>
      <c r="P106" s="8" t="s">
        <v>399</v>
      </c>
      <c r="Q106" s="1" t="s">
        <v>33</v>
      </c>
    </row>
    <row r="107" spans="2:17" ht="33.75" x14ac:dyDescent="0.2">
      <c r="B107" s="6" t="s">
        <v>400</v>
      </c>
      <c r="C107" s="6" t="s">
        <v>401</v>
      </c>
      <c r="D107" s="6" t="s">
        <v>36</v>
      </c>
      <c r="E107" s="6" t="s">
        <v>37</v>
      </c>
      <c r="F107" s="6" t="s">
        <v>187</v>
      </c>
      <c r="G107" s="7" t="str">
        <f>HYPERLINK("https://www.google.com.au/maps/place/31° 26.148' S+152° 51.798' E","31° 26.148' S")</f>
        <v>31° 26.148' S</v>
      </c>
      <c r="H107" s="7" t="str">
        <f>HYPERLINK("https://www.google.com.au/maps/place/31° 26.148' S+152° 51.798' E","152° 51.798' E")</f>
        <v>152° 51.798' E</v>
      </c>
      <c r="I107" s="6" t="s">
        <v>25</v>
      </c>
      <c r="J107" s="6" t="s">
        <v>38</v>
      </c>
      <c r="K107" s="6" t="s">
        <v>39</v>
      </c>
      <c r="L107" s="6" t="s">
        <v>40</v>
      </c>
      <c r="M107" s="6" t="s">
        <v>41</v>
      </c>
      <c r="N107" s="6" t="s">
        <v>102</v>
      </c>
      <c r="O107" s="6" t="s">
        <v>103</v>
      </c>
      <c r="P107" s="8" t="s">
        <v>402</v>
      </c>
      <c r="Q107" s="1" t="s">
        <v>33</v>
      </c>
    </row>
    <row r="108" spans="2:17" ht="33.75" x14ac:dyDescent="0.2">
      <c r="B108" s="6" t="s">
        <v>403</v>
      </c>
      <c r="C108" s="6" t="s">
        <v>404</v>
      </c>
      <c r="D108" s="6" t="s">
        <v>36</v>
      </c>
      <c r="E108" s="6" t="s">
        <v>37</v>
      </c>
      <c r="F108" s="6" t="s">
        <v>405</v>
      </c>
      <c r="G108" s="7" t="str">
        <f>HYPERLINK("https://www.google.com.au/maps/place/23° 22.92' S+150° 28.518' E","23° 22.92' S")</f>
        <v>23° 22.92' S</v>
      </c>
      <c r="H108" s="7" t="str">
        <f>HYPERLINK("https://www.google.com.au/maps/place/23° 22.92' S+150° 28.518' E","150° 28.518' E")</f>
        <v>150° 28.518' E</v>
      </c>
      <c r="I108" s="6" t="s">
        <v>101</v>
      </c>
      <c r="J108" s="6" t="s">
        <v>38</v>
      </c>
      <c r="K108" s="6" t="s">
        <v>39</v>
      </c>
      <c r="L108" s="6" t="s">
        <v>40</v>
      </c>
      <c r="M108" s="6" t="s">
        <v>41</v>
      </c>
      <c r="N108" s="6" t="s">
        <v>62</v>
      </c>
      <c r="O108" s="6" t="s">
        <v>71</v>
      </c>
      <c r="P108" s="8" t="s">
        <v>406</v>
      </c>
      <c r="Q108" s="1" t="s">
        <v>33</v>
      </c>
    </row>
    <row r="109" spans="2:17" ht="33.75" x14ac:dyDescent="0.2">
      <c r="B109" s="6" t="s">
        <v>407</v>
      </c>
      <c r="C109" s="6" t="s">
        <v>408</v>
      </c>
      <c r="D109" s="6" t="s">
        <v>36</v>
      </c>
      <c r="E109" s="6" t="s">
        <v>37</v>
      </c>
      <c r="F109" s="6" t="s">
        <v>187</v>
      </c>
      <c r="G109" s="7" t="str">
        <f>HYPERLINK("https://www.google.com.au/maps/place/31° 26.148' S+152° 51.798' E","31° 26.148' S")</f>
        <v>31° 26.148' S</v>
      </c>
      <c r="H109" s="7" t="str">
        <f>HYPERLINK("https://www.google.com.au/maps/place/31° 26.148' S+152° 51.798' E","152° 51.798' E")</f>
        <v>152° 51.798' E</v>
      </c>
      <c r="I109" s="6" t="s">
        <v>25</v>
      </c>
      <c r="J109" s="6" t="s">
        <v>38</v>
      </c>
      <c r="K109" s="6" t="s">
        <v>39</v>
      </c>
      <c r="L109" s="6" t="s">
        <v>40</v>
      </c>
      <c r="M109" s="6" t="s">
        <v>41</v>
      </c>
      <c r="N109" s="6" t="s">
        <v>102</v>
      </c>
      <c r="O109" s="6" t="s">
        <v>103</v>
      </c>
      <c r="P109" s="8" t="s">
        <v>409</v>
      </c>
      <c r="Q109" s="1" t="s">
        <v>33</v>
      </c>
    </row>
    <row r="110" spans="2:17" ht="33.75" x14ac:dyDescent="0.2">
      <c r="B110" s="6" t="s">
        <v>410</v>
      </c>
      <c r="C110" s="6" t="s">
        <v>411</v>
      </c>
      <c r="D110" s="6" t="s">
        <v>36</v>
      </c>
      <c r="E110" s="6" t="s">
        <v>37</v>
      </c>
      <c r="F110" s="6" t="s">
        <v>346</v>
      </c>
      <c r="G110" s="7" t="str">
        <f>HYPERLINK("https://www.google.com.au/maps/place/27° 23.052' S+153° 7.05' E","27° 23.052' S")</f>
        <v>27° 23.052' S</v>
      </c>
      <c r="H110" s="7" t="str">
        <f>HYPERLINK("https://www.google.com.au/maps/place/27° 23.052' S+153° 7.05' E","153° 7.05' E")</f>
        <v>153° 7.05' E</v>
      </c>
      <c r="I110" s="6" t="s">
        <v>101</v>
      </c>
      <c r="J110" s="6" t="s">
        <v>38</v>
      </c>
      <c r="K110" s="6" t="s">
        <v>39</v>
      </c>
      <c r="L110" s="6" t="s">
        <v>40</v>
      </c>
      <c r="M110" s="6" t="s">
        <v>41</v>
      </c>
      <c r="N110" s="6" t="s">
        <v>62</v>
      </c>
      <c r="O110" s="6" t="s">
        <v>43</v>
      </c>
      <c r="P110" s="8" t="s">
        <v>412</v>
      </c>
      <c r="Q110" s="1" t="s">
        <v>33</v>
      </c>
    </row>
    <row r="111" spans="2:17" ht="33.75" x14ac:dyDescent="0.2">
      <c r="B111" s="6" t="s">
        <v>413</v>
      </c>
      <c r="C111" s="6" t="s">
        <v>414</v>
      </c>
      <c r="D111" s="6" t="s">
        <v>36</v>
      </c>
      <c r="E111" s="6" t="s">
        <v>37</v>
      </c>
      <c r="F111" s="6" t="s">
        <v>346</v>
      </c>
      <c r="G111" s="7" t="str">
        <f>HYPERLINK("https://www.google.com.au/maps/place/27° 23.052' S+153° 7.05' E","27° 23.052' S")</f>
        <v>27° 23.052' S</v>
      </c>
      <c r="H111" s="7" t="str">
        <f>HYPERLINK("https://www.google.com.au/maps/place/27° 23.052' S+153° 7.05' E","153° 7.05' E")</f>
        <v>153° 7.05' E</v>
      </c>
      <c r="I111" s="6" t="s">
        <v>101</v>
      </c>
      <c r="J111" s="6" t="s">
        <v>38</v>
      </c>
      <c r="K111" s="6" t="s">
        <v>39</v>
      </c>
      <c r="L111" s="6" t="s">
        <v>40</v>
      </c>
      <c r="M111" s="6" t="s">
        <v>41</v>
      </c>
      <c r="N111" s="6" t="s">
        <v>42</v>
      </c>
      <c r="O111" s="6" t="s">
        <v>43</v>
      </c>
      <c r="P111" s="8" t="s">
        <v>415</v>
      </c>
      <c r="Q111" s="1" t="s">
        <v>33</v>
      </c>
    </row>
    <row r="112" spans="2:17" ht="56.25" x14ac:dyDescent="0.2">
      <c r="B112" s="6" t="s">
        <v>416</v>
      </c>
      <c r="C112" s="6" t="s">
        <v>417</v>
      </c>
      <c r="D112" s="6" t="s">
        <v>36</v>
      </c>
      <c r="E112" s="6" t="s">
        <v>37</v>
      </c>
      <c r="F112" s="6" t="s">
        <v>24</v>
      </c>
      <c r="G112" s="7" t="str">
        <f>HYPERLINK("https://www.google.com.au/maps/place/33° 56.772' S+151° 10.632' E","33° 56.772' S")</f>
        <v>33° 56.772' S</v>
      </c>
      <c r="H112" s="7" t="str">
        <f>HYPERLINK("https://www.google.com.au/maps/place/33° 56.772' S+151° 10.632' E","151° 10.632' E")</f>
        <v>151° 10.632' E</v>
      </c>
      <c r="I112" s="6" t="s">
        <v>25</v>
      </c>
      <c r="J112" s="6" t="s">
        <v>137</v>
      </c>
      <c r="K112" s="6" t="s">
        <v>138</v>
      </c>
      <c r="L112" s="6" t="s">
        <v>28</v>
      </c>
      <c r="M112" s="6" t="s">
        <v>29</v>
      </c>
      <c r="N112" s="6" t="s">
        <v>86</v>
      </c>
      <c r="O112" s="6" t="s">
        <v>31</v>
      </c>
      <c r="P112" s="8" t="s">
        <v>418</v>
      </c>
      <c r="Q112" s="1" t="s">
        <v>33</v>
      </c>
    </row>
    <row r="113" spans="2:17" ht="33.75" x14ac:dyDescent="0.2">
      <c r="B113" s="6" t="s">
        <v>419</v>
      </c>
      <c r="C113" s="6" t="s">
        <v>420</v>
      </c>
      <c r="D113" s="6" t="s">
        <v>36</v>
      </c>
      <c r="E113" s="6" t="s">
        <v>37</v>
      </c>
      <c r="F113" s="6" t="s">
        <v>405</v>
      </c>
      <c r="G113" s="7" t="str">
        <f>HYPERLINK("https://www.google.com.au/maps/place/23° 22.92' S+150° 28.518' E","23° 22.92' S")</f>
        <v>23° 22.92' S</v>
      </c>
      <c r="H113" s="7" t="str">
        <f>HYPERLINK("https://www.google.com.au/maps/place/23° 22.92' S+150° 28.518' E","150° 28.518' E")</f>
        <v>150° 28.518' E</v>
      </c>
      <c r="I113" s="6" t="s">
        <v>101</v>
      </c>
      <c r="J113" s="6" t="s">
        <v>38</v>
      </c>
      <c r="K113" s="6" t="s">
        <v>39</v>
      </c>
      <c r="L113" s="6" t="s">
        <v>40</v>
      </c>
      <c r="M113" s="6" t="s">
        <v>41</v>
      </c>
      <c r="N113" s="6" t="s">
        <v>62</v>
      </c>
      <c r="O113" s="6" t="s">
        <v>71</v>
      </c>
      <c r="P113" s="8" t="s">
        <v>421</v>
      </c>
      <c r="Q113" s="1" t="s">
        <v>33</v>
      </c>
    </row>
    <row r="114" spans="2:17" ht="33.75" x14ac:dyDescent="0.2">
      <c r="B114" s="6" t="s">
        <v>422</v>
      </c>
      <c r="C114" s="6" t="s">
        <v>423</v>
      </c>
      <c r="D114" s="6" t="s">
        <v>36</v>
      </c>
      <c r="E114" s="6" t="s">
        <v>37</v>
      </c>
      <c r="F114" s="6" t="s">
        <v>424</v>
      </c>
      <c r="G114" s="7" t="str">
        <f>HYPERLINK("https://www.google.com.au/maps/place/35° 24.522' S+149° 0.072' E","35° 24.522' S")</f>
        <v>35° 24.522' S</v>
      </c>
      <c r="H114" s="7" t="str">
        <f>HYPERLINK("https://www.google.com.au/maps/place/35° 24.522' S+149° 0.072' E","149° 0.072' E")</f>
        <v>149° 0.072' E</v>
      </c>
      <c r="I114" s="6" t="s">
        <v>61</v>
      </c>
      <c r="J114" s="6" t="s">
        <v>38</v>
      </c>
      <c r="K114" s="6" t="s">
        <v>39</v>
      </c>
      <c r="L114" s="6" t="s">
        <v>40</v>
      </c>
      <c r="M114" s="6" t="s">
        <v>41</v>
      </c>
      <c r="N114" s="6" t="s">
        <v>42</v>
      </c>
      <c r="O114" s="6" t="s">
        <v>43</v>
      </c>
      <c r="P114" s="8" t="s">
        <v>425</v>
      </c>
      <c r="Q114" s="1" t="s">
        <v>33</v>
      </c>
    </row>
    <row r="115" spans="2:17" ht="180" x14ac:dyDescent="0.2">
      <c r="B115" s="6" t="s">
        <v>426</v>
      </c>
      <c r="C115" s="6" t="s">
        <v>427</v>
      </c>
      <c r="D115" s="6" t="s">
        <v>36</v>
      </c>
      <c r="E115" s="7" t="str">
        <f>HYPERLINK("http://www.atsb.gov.au/publications/investigation_reports/2017/aair/AO-2017-039.aspx","AO-2017-039")</f>
        <v>AO-2017-039</v>
      </c>
      <c r="F115" s="6" t="s">
        <v>346</v>
      </c>
      <c r="G115" s="7" t="str">
        <f>HYPERLINK("https://www.google.com.au/maps/place/27° 23.052' S+153° 7.05' E","27° 23.052' S")</f>
        <v>27° 23.052' S</v>
      </c>
      <c r="H115" s="7" t="str">
        <f>HYPERLINK("https://www.google.com.au/maps/place/27° 23.052' S+153° 7.05' E","153° 7.05' E")</f>
        <v>153° 7.05' E</v>
      </c>
      <c r="I115" s="6" t="s">
        <v>101</v>
      </c>
      <c r="J115" s="6" t="s">
        <v>38</v>
      </c>
      <c r="K115" s="6" t="s">
        <v>39</v>
      </c>
      <c r="L115" s="6" t="s">
        <v>40</v>
      </c>
      <c r="M115" s="6" t="s">
        <v>41</v>
      </c>
      <c r="N115" s="6" t="s">
        <v>62</v>
      </c>
      <c r="O115" s="6" t="s">
        <v>43</v>
      </c>
      <c r="P115" s="8" t="s">
        <v>428</v>
      </c>
      <c r="Q115" s="1" t="s">
        <v>33</v>
      </c>
    </row>
    <row r="116" spans="2:17" ht="33.75" x14ac:dyDescent="0.2">
      <c r="B116" s="6" t="s">
        <v>429</v>
      </c>
      <c r="C116" s="6" t="s">
        <v>430</v>
      </c>
      <c r="D116" s="6" t="s">
        <v>36</v>
      </c>
      <c r="E116" s="6" t="s">
        <v>37</v>
      </c>
      <c r="F116" s="6" t="s">
        <v>24</v>
      </c>
      <c r="G116" s="7" t="str">
        <f>HYPERLINK("https://www.google.com.au/maps/place/33° 56.772' S+151° 10.632' E","33° 56.772' S")</f>
        <v>33° 56.772' S</v>
      </c>
      <c r="H116" s="7" t="str">
        <f>HYPERLINK("https://www.google.com.au/maps/place/33° 56.772' S+151° 10.632' E","151° 10.632' E")</f>
        <v>151° 10.632' E</v>
      </c>
      <c r="I116" s="6" t="s">
        <v>25</v>
      </c>
      <c r="J116" s="6" t="s">
        <v>38</v>
      </c>
      <c r="K116" s="6" t="s">
        <v>39</v>
      </c>
      <c r="L116" s="6" t="s">
        <v>40</v>
      </c>
      <c r="M116" s="6" t="s">
        <v>41</v>
      </c>
      <c r="N116" s="6" t="s">
        <v>62</v>
      </c>
      <c r="O116" s="6" t="s">
        <v>43</v>
      </c>
      <c r="P116" s="8" t="s">
        <v>431</v>
      </c>
      <c r="Q116" s="1" t="s">
        <v>33</v>
      </c>
    </row>
    <row r="117" spans="2:17" ht="33.75" x14ac:dyDescent="0.2">
      <c r="B117" s="6" t="s">
        <v>432</v>
      </c>
      <c r="C117" s="6" t="s">
        <v>433</v>
      </c>
      <c r="D117" s="6" t="s">
        <v>36</v>
      </c>
      <c r="E117" s="6" t="s">
        <v>37</v>
      </c>
      <c r="F117" s="6" t="s">
        <v>69</v>
      </c>
      <c r="G117" s="7" t="str">
        <f>HYPERLINK("https://www.google.com.au/maps/place/31° 5.028' S+150° 50.802' E","31° 5.028' S")</f>
        <v>31° 5.028' S</v>
      </c>
      <c r="H117" s="7" t="str">
        <f>HYPERLINK("https://www.google.com.au/maps/place/31° 5.028' S+150° 50.802' E","150° 50.802' E")</f>
        <v>150° 50.802' E</v>
      </c>
      <c r="I117" s="6" t="s">
        <v>25</v>
      </c>
      <c r="J117" s="6" t="s">
        <v>38</v>
      </c>
      <c r="K117" s="6" t="s">
        <v>39</v>
      </c>
      <c r="L117" s="6" t="s">
        <v>40</v>
      </c>
      <c r="M117" s="6" t="s">
        <v>41</v>
      </c>
      <c r="N117" s="6" t="s">
        <v>62</v>
      </c>
      <c r="O117" s="6" t="s">
        <v>71</v>
      </c>
      <c r="P117" s="8" t="s">
        <v>434</v>
      </c>
      <c r="Q117" s="1" t="s">
        <v>33</v>
      </c>
    </row>
    <row r="118" spans="2:17" ht="33.75" x14ac:dyDescent="0.2">
      <c r="B118" s="6" t="s">
        <v>432</v>
      </c>
      <c r="C118" s="6" t="s">
        <v>435</v>
      </c>
      <c r="D118" s="6" t="s">
        <v>36</v>
      </c>
      <c r="E118" s="6" t="s">
        <v>37</v>
      </c>
      <c r="F118" s="6" t="s">
        <v>436</v>
      </c>
      <c r="G118" s="7" t="str">
        <f>HYPERLINK("https://www.google.com.au/maps/place/24° 0.078' S+150° 37.722' E","24° 0.078' S")</f>
        <v>24° 0.078' S</v>
      </c>
      <c r="H118" s="7" t="str">
        <f>HYPERLINK("https://www.google.com.au/maps/place/24° 0.078' S+150° 37.722' E","150° 37.722' E")</f>
        <v>150° 37.722' E</v>
      </c>
      <c r="I118" s="6" t="s">
        <v>101</v>
      </c>
      <c r="J118" s="6" t="s">
        <v>38</v>
      </c>
      <c r="K118" s="6" t="s">
        <v>39</v>
      </c>
      <c r="L118" s="6" t="s">
        <v>40</v>
      </c>
      <c r="M118" s="6" t="s">
        <v>41</v>
      </c>
      <c r="N118" s="6" t="s">
        <v>42</v>
      </c>
      <c r="O118" s="6" t="s">
        <v>43</v>
      </c>
      <c r="P118" s="8" t="s">
        <v>437</v>
      </c>
      <c r="Q118" s="1" t="s">
        <v>33</v>
      </c>
    </row>
    <row r="119" spans="2:17" ht="33.75" x14ac:dyDescent="0.2">
      <c r="B119" s="6" t="s">
        <v>438</v>
      </c>
      <c r="C119" s="6" t="s">
        <v>439</v>
      </c>
      <c r="D119" s="6" t="s">
        <v>36</v>
      </c>
      <c r="E119" s="6" t="s">
        <v>37</v>
      </c>
      <c r="F119" s="6" t="s">
        <v>69</v>
      </c>
      <c r="G119" s="7" t="str">
        <f>HYPERLINK("https://www.google.com.au/maps/place/31° 5.028' S+150° 50.802' E","31° 5.028' S")</f>
        <v>31° 5.028' S</v>
      </c>
      <c r="H119" s="7" t="str">
        <f>HYPERLINK("https://www.google.com.au/maps/place/31° 5.028' S+150° 50.802' E","150° 50.802' E")</f>
        <v>150° 50.802' E</v>
      </c>
      <c r="I119" s="6" t="s">
        <v>25</v>
      </c>
      <c r="J119" s="6" t="s">
        <v>38</v>
      </c>
      <c r="K119" s="6" t="s">
        <v>39</v>
      </c>
      <c r="L119" s="6" t="s">
        <v>40</v>
      </c>
      <c r="M119" s="6" t="s">
        <v>41</v>
      </c>
      <c r="N119" s="6" t="s">
        <v>62</v>
      </c>
      <c r="O119" s="6" t="s">
        <v>71</v>
      </c>
      <c r="P119" s="8" t="s">
        <v>271</v>
      </c>
      <c r="Q119" s="1" t="s">
        <v>33</v>
      </c>
    </row>
    <row r="120" spans="2:17" ht="33.75" x14ac:dyDescent="0.2">
      <c r="B120" s="6" t="s">
        <v>440</v>
      </c>
      <c r="C120" s="6" t="s">
        <v>441</v>
      </c>
      <c r="D120" s="6" t="s">
        <v>36</v>
      </c>
      <c r="E120" s="6" t="s">
        <v>37</v>
      </c>
      <c r="F120" s="6" t="s">
        <v>378</v>
      </c>
      <c r="G120" s="7" t="str">
        <f>HYPERLINK("https://www.google.com.au/maps/place/22° 3.468' S+148° 4.65' E","22° 3.468' S")</f>
        <v>22° 3.468' S</v>
      </c>
      <c r="H120" s="7" t="str">
        <f>HYPERLINK("https://www.google.com.au/maps/place/22° 3.468' S+148° 4.65' E","148° 4.65' E")</f>
        <v>148° 4.65' E</v>
      </c>
      <c r="I120" s="6" t="s">
        <v>101</v>
      </c>
      <c r="J120" s="6" t="s">
        <v>38</v>
      </c>
      <c r="K120" s="6" t="s">
        <v>39</v>
      </c>
      <c r="L120" s="6" t="s">
        <v>40</v>
      </c>
      <c r="M120" s="6" t="s">
        <v>41</v>
      </c>
      <c r="N120" s="6" t="s">
        <v>102</v>
      </c>
      <c r="O120" s="6" t="s">
        <v>103</v>
      </c>
      <c r="P120" s="8" t="s">
        <v>442</v>
      </c>
      <c r="Q120" s="1" t="s">
        <v>33</v>
      </c>
    </row>
    <row r="121" spans="2:17" ht="33.75" x14ac:dyDescent="0.2">
      <c r="B121" s="6" t="s">
        <v>440</v>
      </c>
      <c r="C121" s="6" t="s">
        <v>443</v>
      </c>
      <c r="D121" s="6" t="s">
        <v>36</v>
      </c>
      <c r="E121" s="6" t="s">
        <v>37</v>
      </c>
      <c r="F121" s="6" t="s">
        <v>444</v>
      </c>
      <c r="G121" s="7" t="str">
        <f>HYPERLINK("https://www.google.com.au/maps/place/26° 36.198' S+153° 5.472' E","26° 36.198' S")</f>
        <v>26° 36.198' S</v>
      </c>
      <c r="H121" s="7" t="str">
        <f>HYPERLINK("https://www.google.com.au/maps/place/26° 36.198' S+153° 5.472' E","153° 5.472' E")</f>
        <v>153° 5.472' E</v>
      </c>
      <c r="I121" s="6" t="s">
        <v>101</v>
      </c>
      <c r="J121" s="6" t="s">
        <v>38</v>
      </c>
      <c r="K121" s="6" t="s">
        <v>39</v>
      </c>
      <c r="L121" s="6" t="s">
        <v>40</v>
      </c>
      <c r="M121" s="6" t="s">
        <v>41</v>
      </c>
      <c r="N121" s="6" t="s">
        <v>42</v>
      </c>
      <c r="O121" s="6" t="s">
        <v>302</v>
      </c>
      <c r="P121" s="8" t="s">
        <v>445</v>
      </c>
      <c r="Q121" s="1" t="s">
        <v>33</v>
      </c>
    </row>
    <row r="122" spans="2:17" ht="33.75" x14ac:dyDescent="0.2">
      <c r="B122" s="6" t="s">
        <v>446</v>
      </c>
      <c r="C122" s="6" t="s">
        <v>447</v>
      </c>
      <c r="D122" s="6" t="s">
        <v>36</v>
      </c>
      <c r="E122" s="6" t="s">
        <v>37</v>
      </c>
      <c r="F122" s="6" t="s">
        <v>346</v>
      </c>
      <c r="G122" s="7" t="str">
        <f>HYPERLINK("https://www.google.com.au/maps/place/27° 23.052' S+153° 7.05' E","27° 23.052' S")</f>
        <v>27° 23.052' S</v>
      </c>
      <c r="H122" s="7" t="str">
        <f>HYPERLINK("https://www.google.com.au/maps/place/27° 23.052' S+153° 7.05' E","153° 7.05' E")</f>
        <v>153° 7.05' E</v>
      </c>
      <c r="I122" s="6" t="s">
        <v>101</v>
      </c>
      <c r="J122" s="6" t="s">
        <v>38</v>
      </c>
      <c r="K122" s="6" t="s">
        <v>39</v>
      </c>
      <c r="L122" s="6" t="s">
        <v>40</v>
      </c>
      <c r="M122" s="6" t="s">
        <v>41</v>
      </c>
      <c r="N122" s="6" t="s">
        <v>42</v>
      </c>
      <c r="O122" s="6" t="s">
        <v>43</v>
      </c>
      <c r="P122" s="8" t="s">
        <v>448</v>
      </c>
      <c r="Q122" s="1" t="s">
        <v>33</v>
      </c>
    </row>
    <row r="123" spans="2:17" ht="33.75" x14ac:dyDescent="0.2">
      <c r="B123" s="6" t="s">
        <v>449</v>
      </c>
      <c r="C123" s="6" t="s">
        <v>450</v>
      </c>
      <c r="D123" s="6" t="s">
        <v>36</v>
      </c>
      <c r="E123" s="6" t="s">
        <v>37</v>
      </c>
      <c r="F123" s="6" t="s">
        <v>405</v>
      </c>
      <c r="G123" s="7" t="str">
        <f>HYPERLINK("https://www.google.com.au/maps/place/23° 22.92' S+150° 28.518' E","23° 22.92' S")</f>
        <v>23° 22.92' S</v>
      </c>
      <c r="H123" s="7" t="str">
        <f>HYPERLINK("https://www.google.com.au/maps/place/23° 22.92' S+150° 28.518' E","150° 28.518' E")</f>
        <v>150° 28.518' E</v>
      </c>
      <c r="I123" s="6" t="s">
        <v>101</v>
      </c>
      <c r="J123" s="6" t="s">
        <v>38</v>
      </c>
      <c r="K123" s="6" t="s">
        <v>39</v>
      </c>
      <c r="L123" s="6" t="s">
        <v>40</v>
      </c>
      <c r="M123" s="6" t="s">
        <v>41</v>
      </c>
      <c r="N123" s="6" t="s">
        <v>62</v>
      </c>
      <c r="O123" s="6" t="s">
        <v>71</v>
      </c>
      <c r="P123" s="8" t="s">
        <v>451</v>
      </c>
      <c r="Q123" s="1" t="s">
        <v>33</v>
      </c>
    </row>
    <row r="124" spans="2:17" ht="56.25" x14ac:dyDescent="0.2">
      <c r="B124" s="6" t="s">
        <v>449</v>
      </c>
      <c r="C124" s="6" t="s">
        <v>452</v>
      </c>
      <c r="D124" s="6" t="s">
        <v>36</v>
      </c>
      <c r="E124" s="6" t="s">
        <v>37</v>
      </c>
      <c r="F124" s="6" t="s">
        <v>453</v>
      </c>
      <c r="G124" s="7" t="str">
        <f>HYPERLINK("https://www.google.com.au/maps/place/34° 38.4' S+150° 16.572' E","34° 38.4' S")</f>
        <v>34° 38.4' S</v>
      </c>
      <c r="H124" s="7" t="str">
        <f>HYPERLINK("https://www.google.com.au/maps/place/34° 38.4' S+150° 16.572' E","150° 16.572' E")</f>
        <v>150° 16.572' E</v>
      </c>
      <c r="I124" s="6" t="s">
        <v>25</v>
      </c>
      <c r="J124" s="6" t="s">
        <v>295</v>
      </c>
      <c r="K124" s="6" t="s">
        <v>296</v>
      </c>
      <c r="L124" s="6" t="s">
        <v>28</v>
      </c>
      <c r="M124" s="6" t="s">
        <v>29</v>
      </c>
      <c r="N124" s="6" t="s">
        <v>86</v>
      </c>
      <c r="O124" s="6" t="s">
        <v>31</v>
      </c>
      <c r="P124" s="8" t="s">
        <v>454</v>
      </c>
      <c r="Q124" s="1" t="s">
        <v>33</v>
      </c>
    </row>
    <row r="125" spans="2:17" ht="33.75" x14ac:dyDescent="0.2">
      <c r="B125" s="6" t="s">
        <v>455</v>
      </c>
      <c r="C125" s="6" t="s">
        <v>456</v>
      </c>
      <c r="D125" s="6" t="s">
        <v>36</v>
      </c>
      <c r="E125" s="6" t="s">
        <v>37</v>
      </c>
      <c r="F125" s="6" t="s">
        <v>60</v>
      </c>
      <c r="G125" s="7" t="str">
        <f>HYPERLINK("https://www.google.com.au/maps/place/35° 18.42' S+149° 11.7' E","35° 18.42' S")</f>
        <v>35° 18.42' S</v>
      </c>
      <c r="H125" s="7" t="str">
        <f>HYPERLINK("https://www.google.com.au/maps/place/35° 18.42' S+149° 11.7' E","149° 11.7' E")</f>
        <v>149° 11.7' E</v>
      </c>
      <c r="I125" s="6" t="s">
        <v>61</v>
      </c>
      <c r="J125" s="6" t="s">
        <v>38</v>
      </c>
      <c r="K125" s="6" t="s">
        <v>39</v>
      </c>
      <c r="L125" s="6" t="s">
        <v>40</v>
      </c>
      <c r="M125" s="6" t="s">
        <v>41</v>
      </c>
      <c r="N125" s="6" t="s">
        <v>62</v>
      </c>
      <c r="O125" s="6" t="s">
        <v>43</v>
      </c>
      <c r="P125" s="8" t="s">
        <v>457</v>
      </c>
      <c r="Q125" s="1" t="s">
        <v>33</v>
      </c>
    </row>
    <row r="126" spans="2:17" ht="67.5" x14ac:dyDescent="0.2">
      <c r="B126" s="6" t="s">
        <v>458</v>
      </c>
      <c r="C126" s="6" t="s">
        <v>459</v>
      </c>
      <c r="D126" s="6" t="s">
        <v>36</v>
      </c>
      <c r="E126" s="7" t="str">
        <f>HYPERLINK("http://www.atsb.gov.au/publications/investigation_reports/2017/aair/AO-2017-025.aspx","AO-2017-025")</f>
        <v>AO-2017-025</v>
      </c>
      <c r="F126" s="6" t="s">
        <v>460</v>
      </c>
      <c r="G126" s="7" t="str">
        <f>HYPERLINK("https://www.google.com.au/maps/place/32° 9.402' S+151° 30.03' E","32° 9.402' S")</f>
        <v>32° 9.402' S</v>
      </c>
      <c r="H126" s="7" t="str">
        <f>HYPERLINK("https://www.google.com.au/maps/place/32° 9.402' S+151° 30.03' E","151° 30.03' E")</f>
        <v>151° 30.03' E</v>
      </c>
      <c r="I126" s="6" t="s">
        <v>25</v>
      </c>
      <c r="J126" s="6" t="s">
        <v>38</v>
      </c>
      <c r="K126" s="6" t="s">
        <v>39</v>
      </c>
      <c r="L126" s="6" t="s">
        <v>40</v>
      </c>
      <c r="M126" s="6" t="s">
        <v>41</v>
      </c>
      <c r="N126" s="6" t="s">
        <v>42</v>
      </c>
      <c r="O126" s="6" t="s">
        <v>461</v>
      </c>
      <c r="P126" s="8" t="s">
        <v>462</v>
      </c>
      <c r="Q126" s="1" t="s">
        <v>33</v>
      </c>
    </row>
    <row r="127" spans="2:17" ht="56.25" x14ac:dyDescent="0.2">
      <c r="B127" s="6" t="s">
        <v>463</v>
      </c>
      <c r="C127" s="6" t="s">
        <v>464</v>
      </c>
      <c r="D127" s="6" t="s">
        <v>36</v>
      </c>
      <c r="E127" s="6" t="s">
        <v>37</v>
      </c>
      <c r="F127" s="6" t="s">
        <v>465</v>
      </c>
      <c r="G127" s="7" t="str">
        <f>HYPERLINK("https://www.google.com.au/maps/place/34° 12.798' S+150° 40.098' E","34° 12.798' S")</f>
        <v>34° 12.798' S</v>
      </c>
      <c r="H127" s="7" t="str">
        <f>HYPERLINK("https://www.google.com.au/maps/place/34° 12.798' S+150° 40.098' E","150° 40.098' E")</f>
        <v>150° 40.098' E</v>
      </c>
      <c r="I127" s="6" t="s">
        <v>25</v>
      </c>
      <c r="J127" s="6" t="s">
        <v>91</v>
      </c>
      <c r="K127" s="6" t="s">
        <v>466</v>
      </c>
      <c r="L127" s="6" t="s">
        <v>53</v>
      </c>
      <c r="M127" s="6" t="s">
        <v>54</v>
      </c>
      <c r="N127" s="6" t="s">
        <v>86</v>
      </c>
      <c r="O127" s="6" t="s">
        <v>31</v>
      </c>
      <c r="P127" s="8" t="s">
        <v>467</v>
      </c>
      <c r="Q127" s="1" t="s">
        <v>33</v>
      </c>
    </row>
    <row r="128" spans="2:17" ht="33.75" x14ac:dyDescent="0.2">
      <c r="B128" s="6" t="s">
        <v>468</v>
      </c>
      <c r="C128" s="6" t="s">
        <v>469</v>
      </c>
      <c r="D128" s="6" t="s">
        <v>36</v>
      </c>
      <c r="E128" s="6" t="s">
        <v>37</v>
      </c>
      <c r="F128" s="6" t="s">
        <v>24</v>
      </c>
      <c r="G128" s="7" t="str">
        <f>HYPERLINK("https://www.google.com.au/maps/place/33° 56.772' S+151° 10.632' E","33° 56.772' S")</f>
        <v>33° 56.772' S</v>
      </c>
      <c r="H128" s="7" t="str">
        <f>HYPERLINK("https://www.google.com.au/maps/place/33° 56.772' S+151° 10.632' E","151° 10.632' E")</f>
        <v>151° 10.632' E</v>
      </c>
      <c r="I128" s="6" t="s">
        <v>25</v>
      </c>
      <c r="J128" s="6" t="s">
        <v>38</v>
      </c>
      <c r="K128" s="6" t="s">
        <v>39</v>
      </c>
      <c r="L128" s="6" t="s">
        <v>40</v>
      </c>
      <c r="M128" s="6" t="s">
        <v>41</v>
      </c>
      <c r="N128" s="6" t="s">
        <v>62</v>
      </c>
      <c r="O128" s="6" t="s">
        <v>43</v>
      </c>
      <c r="P128" s="8" t="s">
        <v>470</v>
      </c>
      <c r="Q128" s="1" t="s">
        <v>33</v>
      </c>
    </row>
    <row r="129" spans="2:17" ht="33.75" x14ac:dyDescent="0.2">
      <c r="B129" s="6" t="s">
        <v>471</v>
      </c>
      <c r="C129" s="6" t="s">
        <v>472</v>
      </c>
      <c r="D129" s="6" t="s">
        <v>36</v>
      </c>
      <c r="E129" s="6" t="s">
        <v>37</v>
      </c>
      <c r="F129" s="6" t="s">
        <v>90</v>
      </c>
      <c r="G129" s="7" t="str">
        <f>HYPERLINK("https://www.google.com.au/maps/place/36° 4.068' S+146° 57.48' E","36° 4.068' S")</f>
        <v>36° 4.068' S</v>
      </c>
      <c r="H129" s="7" t="str">
        <f>HYPERLINK("https://www.google.com.au/maps/place/36° 4.068' S+146° 57.48' E","146° 57.48' E")</f>
        <v>146° 57.48' E</v>
      </c>
      <c r="I129" s="6" t="s">
        <v>25</v>
      </c>
      <c r="J129" s="6" t="s">
        <v>38</v>
      </c>
      <c r="K129" s="6" t="s">
        <v>39</v>
      </c>
      <c r="L129" s="6" t="s">
        <v>40</v>
      </c>
      <c r="M129" s="6" t="s">
        <v>41</v>
      </c>
      <c r="N129" s="6" t="s">
        <v>62</v>
      </c>
      <c r="O129" s="6" t="s">
        <v>71</v>
      </c>
      <c r="P129" s="8" t="s">
        <v>473</v>
      </c>
      <c r="Q129" s="1" t="s">
        <v>33</v>
      </c>
    </row>
    <row r="130" spans="2:17" ht="67.5" x14ac:dyDescent="0.2">
      <c r="B130" s="6" t="s">
        <v>474</v>
      </c>
      <c r="C130" s="6" t="s">
        <v>475</v>
      </c>
      <c r="D130" s="6" t="s">
        <v>36</v>
      </c>
      <c r="E130" s="6" t="s">
        <v>37</v>
      </c>
      <c r="F130" s="6" t="s">
        <v>476</v>
      </c>
      <c r="G130" s="7" t="str">
        <f>HYPERLINK("https://www.google.com.au/maps/place/27° 28.65' S+152° 24.498' E","27° 28.65' S")</f>
        <v>27° 28.65' S</v>
      </c>
      <c r="H130" s="7" t="str">
        <f>HYPERLINK("https://www.google.com.au/maps/place/27° 28.65' S+152° 24.498' E","152° 24.498' E")</f>
        <v>152° 24.498' E</v>
      </c>
      <c r="I130" s="6" t="s">
        <v>101</v>
      </c>
      <c r="J130" s="6" t="s">
        <v>26</v>
      </c>
      <c r="K130" s="6" t="s">
        <v>85</v>
      </c>
      <c r="L130" s="6" t="s">
        <v>28</v>
      </c>
      <c r="M130" s="6" t="s">
        <v>29</v>
      </c>
      <c r="N130" s="6" t="s">
        <v>86</v>
      </c>
      <c r="O130" s="6" t="s">
        <v>31</v>
      </c>
      <c r="P130" s="8" t="s">
        <v>477</v>
      </c>
      <c r="Q130" s="1" t="s">
        <v>33</v>
      </c>
    </row>
    <row r="131" spans="2:17" ht="67.5" x14ac:dyDescent="0.2">
      <c r="B131" s="6" t="s">
        <v>478</v>
      </c>
      <c r="C131" s="6" t="s">
        <v>479</v>
      </c>
      <c r="D131" s="6" t="s">
        <v>36</v>
      </c>
      <c r="E131" s="6" t="s">
        <v>37</v>
      </c>
      <c r="F131" s="6" t="s">
        <v>480</v>
      </c>
      <c r="G131" s="7" t="str">
        <f>HYPERLINK("https://www.google.com.au/maps/place/34° 19.83' S+150° 47.13' E","34° 19.83' S")</f>
        <v>34° 19.83' S</v>
      </c>
      <c r="H131" s="7" t="str">
        <f>HYPERLINK("https://www.google.com.au/maps/place/34° 19.83' S+150° 47.13' E","150° 47.13' E")</f>
        <v>150° 47.13' E</v>
      </c>
      <c r="I131" s="6" t="s">
        <v>25</v>
      </c>
      <c r="J131" s="6" t="s">
        <v>51</v>
      </c>
      <c r="K131" s="6" t="s">
        <v>481</v>
      </c>
      <c r="L131" s="6" t="s">
        <v>482</v>
      </c>
      <c r="M131" s="6" t="s">
        <v>483</v>
      </c>
      <c r="N131" s="6" t="s">
        <v>30</v>
      </c>
      <c r="O131" s="6" t="s">
        <v>31</v>
      </c>
      <c r="P131" s="8" t="s">
        <v>484</v>
      </c>
      <c r="Q131" s="1" t="s">
        <v>33</v>
      </c>
    </row>
    <row r="132" spans="2:17" ht="33.75" x14ac:dyDescent="0.2">
      <c r="B132" s="6" t="s">
        <v>485</v>
      </c>
      <c r="C132" s="6" t="s">
        <v>486</v>
      </c>
      <c r="D132" s="6" t="s">
        <v>36</v>
      </c>
      <c r="E132" s="6" t="s">
        <v>37</v>
      </c>
      <c r="F132" s="6" t="s">
        <v>346</v>
      </c>
      <c r="G132" s="7" t="str">
        <f>HYPERLINK("https://www.google.com.au/maps/place/27° 23.052' S+153° 7.05' E","27° 23.052' S")</f>
        <v>27° 23.052' S</v>
      </c>
      <c r="H132" s="7" t="str">
        <f>HYPERLINK("https://www.google.com.au/maps/place/27° 23.052' S+153° 7.05' E","153° 7.05' E")</f>
        <v>153° 7.05' E</v>
      </c>
      <c r="I132" s="6" t="s">
        <v>101</v>
      </c>
      <c r="J132" s="6" t="s">
        <v>38</v>
      </c>
      <c r="K132" s="6" t="s">
        <v>39</v>
      </c>
      <c r="L132" s="6" t="s">
        <v>40</v>
      </c>
      <c r="M132" s="6" t="s">
        <v>41</v>
      </c>
      <c r="N132" s="6" t="s">
        <v>62</v>
      </c>
      <c r="O132" s="6" t="s">
        <v>43</v>
      </c>
      <c r="P132" s="8" t="s">
        <v>487</v>
      </c>
      <c r="Q132" s="1" t="s">
        <v>33</v>
      </c>
    </row>
    <row r="133" spans="2:17" ht="33.75" x14ac:dyDescent="0.2">
      <c r="B133" s="6" t="s">
        <v>488</v>
      </c>
      <c r="C133" s="6" t="s">
        <v>489</v>
      </c>
      <c r="D133" s="6" t="s">
        <v>36</v>
      </c>
      <c r="E133" s="6" t="s">
        <v>37</v>
      </c>
      <c r="F133" s="6" t="s">
        <v>50</v>
      </c>
      <c r="G133" s="7" t="str">
        <f>HYPERLINK("https://www.google.com.au/maps/place/31° 26.148' S+152° 51.798' E","31° 26.148' S")</f>
        <v>31° 26.148' S</v>
      </c>
      <c r="H133" s="7" t="str">
        <f>HYPERLINK("https://www.google.com.au/maps/place/31° 26.148' S+152° 51.798' E","152° 51.798' E")</f>
        <v>152° 51.798' E</v>
      </c>
      <c r="I133" s="6" t="s">
        <v>25</v>
      </c>
      <c r="J133" s="6" t="s">
        <v>38</v>
      </c>
      <c r="K133" s="6" t="s">
        <v>39</v>
      </c>
      <c r="L133" s="6" t="s">
        <v>40</v>
      </c>
      <c r="M133" s="6" t="s">
        <v>41</v>
      </c>
      <c r="N133" s="6" t="s">
        <v>62</v>
      </c>
      <c r="O133" s="6" t="s">
        <v>43</v>
      </c>
      <c r="P133" s="8" t="s">
        <v>490</v>
      </c>
      <c r="Q133" s="1" t="s">
        <v>33</v>
      </c>
    </row>
    <row r="134" spans="2:17" ht="33.75" x14ac:dyDescent="0.2">
      <c r="B134" s="6" t="s">
        <v>491</v>
      </c>
      <c r="C134" s="6" t="s">
        <v>492</v>
      </c>
      <c r="D134" s="6" t="s">
        <v>36</v>
      </c>
      <c r="E134" s="6" t="s">
        <v>37</v>
      </c>
      <c r="F134" s="6" t="s">
        <v>346</v>
      </c>
      <c r="G134" s="7" t="str">
        <f>HYPERLINK("https://www.google.com.au/maps/place/27° 23.052' S+153° 7.05' E","27° 23.052' S")</f>
        <v>27° 23.052' S</v>
      </c>
      <c r="H134" s="7" t="str">
        <f>HYPERLINK("https://www.google.com.au/maps/place/27° 23.052' S+153° 7.05' E","153° 7.05' E")</f>
        <v>153° 7.05' E</v>
      </c>
      <c r="I134" s="6" t="s">
        <v>101</v>
      </c>
      <c r="J134" s="6" t="s">
        <v>38</v>
      </c>
      <c r="K134" s="6" t="s">
        <v>39</v>
      </c>
      <c r="L134" s="6" t="s">
        <v>40</v>
      </c>
      <c r="M134" s="6" t="s">
        <v>41</v>
      </c>
      <c r="N134" s="6" t="s">
        <v>62</v>
      </c>
      <c r="O134" s="6" t="s">
        <v>43</v>
      </c>
      <c r="P134" s="8" t="s">
        <v>493</v>
      </c>
      <c r="Q134" s="1" t="s">
        <v>33</v>
      </c>
    </row>
    <row r="135" spans="2:17" ht="33.75" x14ac:dyDescent="0.2">
      <c r="B135" s="6" t="s">
        <v>494</v>
      </c>
      <c r="C135" s="6" t="s">
        <v>495</v>
      </c>
      <c r="D135" s="6" t="s">
        <v>36</v>
      </c>
      <c r="E135" s="6" t="s">
        <v>37</v>
      </c>
      <c r="F135" s="6" t="s">
        <v>496</v>
      </c>
      <c r="G135" s="7" t="str">
        <f>HYPERLINK("https://www.google.com.au/maps/place/27° 22.068' S+153° 7.272' E","27° 22.068' S")</f>
        <v>27° 22.068' S</v>
      </c>
      <c r="H135" s="7" t="str">
        <f>HYPERLINK("https://www.google.com.au/maps/place/27° 22.068' S+153° 7.272' E","153° 7.272' E")</f>
        <v>153° 7.272' E</v>
      </c>
      <c r="I135" s="6" t="s">
        <v>101</v>
      </c>
      <c r="J135" s="6" t="s">
        <v>38</v>
      </c>
      <c r="K135" s="6" t="s">
        <v>39</v>
      </c>
      <c r="L135" s="6" t="s">
        <v>40</v>
      </c>
      <c r="M135" s="6" t="s">
        <v>41</v>
      </c>
      <c r="N135" s="6" t="s">
        <v>62</v>
      </c>
      <c r="O135" s="6" t="s">
        <v>43</v>
      </c>
      <c r="P135" s="8" t="s">
        <v>497</v>
      </c>
      <c r="Q135" s="1" t="s">
        <v>33</v>
      </c>
    </row>
    <row r="136" spans="2:17" ht="33.75" x14ac:dyDescent="0.2">
      <c r="B136" s="6" t="s">
        <v>498</v>
      </c>
      <c r="C136" s="6" t="s">
        <v>499</v>
      </c>
      <c r="D136" s="6" t="s">
        <v>36</v>
      </c>
      <c r="E136" s="6" t="s">
        <v>37</v>
      </c>
      <c r="F136" s="6" t="s">
        <v>405</v>
      </c>
      <c r="G136" s="7" t="str">
        <f>HYPERLINK("https://www.google.com.au/maps/place/23° 22.92' S+150° 28.518' E","23° 22.92' S")</f>
        <v>23° 22.92' S</v>
      </c>
      <c r="H136" s="7" t="str">
        <f>HYPERLINK("https://www.google.com.au/maps/place/23° 22.92' S+150° 28.518' E","150° 28.518' E")</f>
        <v>150° 28.518' E</v>
      </c>
      <c r="I136" s="6" t="s">
        <v>101</v>
      </c>
      <c r="J136" s="6" t="s">
        <v>38</v>
      </c>
      <c r="K136" s="6" t="s">
        <v>39</v>
      </c>
      <c r="L136" s="6" t="s">
        <v>40</v>
      </c>
      <c r="M136" s="6" t="s">
        <v>41</v>
      </c>
      <c r="N136" s="6" t="s">
        <v>62</v>
      </c>
      <c r="O136" s="6" t="s">
        <v>71</v>
      </c>
      <c r="P136" s="8" t="s">
        <v>500</v>
      </c>
      <c r="Q136" s="1" t="s">
        <v>33</v>
      </c>
    </row>
    <row r="137" spans="2:17" ht="33.75" x14ac:dyDescent="0.2">
      <c r="B137" s="6" t="s">
        <v>501</v>
      </c>
      <c r="C137" s="6" t="s">
        <v>502</v>
      </c>
      <c r="D137" s="6" t="s">
        <v>36</v>
      </c>
      <c r="E137" s="6" t="s">
        <v>37</v>
      </c>
      <c r="F137" s="6" t="s">
        <v>503</v>
      </c>
      <c r="G137" s="7" t="str">
        <f>HYPERLINK("https://www.google.com.au/maps/place/22° 3.468' S+148° 4.65' E","22° 3.468' S")</f>
        <v>22° 3.468' S</v>
      </c>
      <c r="H137" s="7" t="str">
        <f>HYPERLINK("https://www.google.com.au/maps/place/22° 3.468' S+148° 4.65' E","148° 4.65' E")</f>
        <v>148° 4.65' E</v>
      </c>
      <c r="I137" s="6" t="s">
        <v>101</v>
      </c>
      <c r="J137" s="6" t="s">
        <v>38</v>
      </c>
      <c r="K137" s="6" t="s">
        <v>39</v>
      </c>
      <c r="L137" s="6" t="s">
        <v>40</v>
      </c>
      <c r="M137" s="6" t="s">
        <v>41</v>
      </c>
      <c r="N137" s="6" t="s">
        <v>42</v>
      </c>
      <c r="O137" s="6" t="s">
        <v>302</v>
      </c>
      <c r="P137" s="8" t="s">
        <v>504</v>
      </c>
      <c r="Q137" s="1" t="s">
        <v>33</v>
      </c>
    </row>
    <row r="138" spans="2:17" ht="33.75" x14ac:dyDescent="0.2">
      <c r="B138" s="6" t="s">
        <v>505</v>
      </c>
      <c r="C138" s="6" t="s">
        <v>506</v>
      </c>
      <c r="D138" s="6" t="s">
        <v>36</v>
      </c>
      <c r="E138" s="6" t="s">
        <v>37</v>
      </c>
      <c r="F138" s="6" t="s">
        <v>507</v>
      </c>
      <c r="G138" s="7" t="str">
        <f>HYPERLINK("https://www.google.com.au/maps/place/34° 5.82' S+150° 49.2' E","34° 5.82' S")</f>
        <v>34° 5.82' S</v>
      </c>
      <c r="H138" s="7" t="str">
        <f>HYPERLINK("https://www.google.com.au/maps/place/34° 5.82' S+150° 49.2' E","150° 49.2' E")</f>
        <v>150° 49.2' E</v>
      </c>
      <c r="I138" s="6" t="s">
        <v>25</v>
      </c>
      <c r="J138" s="6" t="s">
        <v>38</v>
      </c>
      <c r="K138" s="6" t="s">
        <v>39</v>
      </c>
      <c r="L138" s="6" t="s">
        <v>40</v>
      </c>
      <c r="M138" s="6" t="s">
        <v>41</v>
      </c>
      <c r="N138" s="6" t="s">
        <v>42</v>
      </c>
      <c r="O138" s="6" t="s">
        <v>43</v>
      </c>
      <c r="P138" s="8" t="s">
        <v>508</v>
      </c>
      <c r="Q138" s="1" t="s">
        <v>33</v>
      </c>
    </row>
    <row r="139" spans="2:17" ht="33.75" x14ac:dyDescent="0.2">
      <c r="B139" s="6" t="s">
        <v>509</v>
      </c>
      <c r="C139" s="6" t="s">
        <v>510</v>
      </c>
      <c r="D139" s="6" t="s">
        <v>36</v>
      </c>
      <c r="E139" s="6" t="s">
        <v>37</v>
      </c>
      <c r="F139" s="6" t="s">
        <v>346</v>
      </c>
      <c r="G139" s="7" t="str">
        <f>HYPERLINK("https://www.google.com.au/maps/place/27° 23.052' S+153° 7.05' E","27° 23.052' S")</f>
        <v>27° 23.052' S</v>
      </c>
      <c r="H139" s="7" t="str">
        <f>HYPERLINK("https://www.google.com.au/maps/place/27° 23.052' S+153° 7.05' E","153° 7.05' E")</f>
        <v>153° 7.05' E</v>
      </c>
      <c r="I139" s="6" t="s">
        <v>101</v>
      </c>
      <c r="J139" s="6" t="s">
        <v>38</v>
      </c>
      <c r="K139" s="6" t="s">
        <v>39</v>
      </c>
      <c r="L139" s="6" t="s">
        <v>40</v>
      </c>
      <c r="M139" s="6" t="s">
        <v>41</v>
      </c>
      <c r="N139" s="6" t="s">
        <v>62</v>
      </c>
      <c r="O139" s="6" t="s">
        <v>43</v>
      </c>
      <c r="P139" s="8" t="s">
        <v>511</v>
      </c>
      <c r="Q139" s="1" t="s">
        <v>33</v>
      </c>
    </row>
    <row r="140" spans="2:17" ht="33.75" x14ac:dyDescent="0.2">
      <c r="B140" s="6" t="s">
        <v>512</v>
      </c>
      <c r="C140" s="6" t="s">
        <v>513</v>
      </c>
      <c r="D140" s="6" t="s">
        <v>36</v>
      </c>
      <c r="E140" s="6" t="s">
        <v>37</v>
      </c>
      <c r="F140" s="6" t="s">
        <v>514</v>
      </c>
      <c r="G140" s="7" t="str">
        <f>HYPERLINK("https://www.google.com.au/maps/place/23° 52.182' S+151° 13.368' E","23° 52.182' S")</f>
        <v>23° 52.182' S</v>
      </c>
      <c r="H140" s="7" t="str">
        <f>HYPERLINK("https://www.google.com.au/maps/place/23° 52.182' S+151° 13.368' E","151° 13.368' E")</f>
        <v>151° 13.368' E</v>
      </c>
      <c r="I140" s="6" t="s">
        <v>101</v>
      </c>
      <c r="J140" s="6" t="s">
        <v>38</v>
      </c>
      <c r="K140" s="6" t="s">
        <v>39</v>
      </c>
      <c r="L140" s="6" t="s">
        <v>40</v>
      </c>
      <c r="M140" s="6" t="s">
        <v>41</v>
      </c>
      <c r="N140" s="6" t="s">
        <v>42</v>
      </c>
      <c r="O140" s="6" t="s">
        <v>302</v>
      </c>
      <c r="P140" s="8" t="s">
        <v>515</v>
      </c>
      <c r="Q140" s="1" t="s">
        <v>33</v>
      </c>
    </row>
    <row r="141" spans="2:17" ht="33.75" x14ac:dyDescent="0.2">
      <c r="B141" s="6" t="s">
        <v>516</v>
      </c>
      <c r="C141" s="6" t="s">
        <v>517</v>
      </c>
      <c r="D141" s="6" t="s">
        <v>36</v>
      </c>
      <c r="E141" s="6" t="s">
        <v>37</v>
      </c>
      <c r="F141" s="6" t="s">
        <v>193</v>
      </c>
      <c r="G141" s="7" t="str">
        <f>HYPERLINK("https://www.google.com.au/maps/place/35° 18.42' S+149° 11.7' E","35° 18.42' S")</f>
        <v>35° 18.42' S</v>
      </c>
      <c r="H141" s="7" t="str">
        <f>HYPERLINK("https://www.google.com.au/maps/place/35° 18.42' S+149° 11.7' E","149° 11.7' E")</f>
        <v>149° 11.7' E</v>
      </c>
      <c r="I141" s="6" t="s">
        <v>61</v>
      </c>
      <c r="J141" s="6" t="s">
        <v>38</v>
      </c>
      <c r="K141" s="6" t="s">
        <v>39</v>
      </c>
      <c r="L141" s="6" t="s">
        <v>40</v>
      </c>
      <c r="M141" s="6" t="s">
        <v>41</v>
      </c>
      <c r="N141" s="6" t="s">
        <v>62</v>
      </c>
      <c r="O141" s="6" t="s">
        <v>43</v>
      </c>
      <c r="P141" s="8" t="s">
        <v>518</v>
      </c>
      <c r="Q141" s="1" t="s">
        <v>33</v>
      </c>
    </row>
    <row r="142" spans="2:17" ht="67.5" x14ac:dyDescent="0.2">
      <c r="B142" s="6" t="s">
        <v>519</v>
      </c>
      <c r="C142" s="6" t="s">
        <v>520</v>
      </c>
      <c r="D142" s="6" t="s">
        <v>36</v>
      </c>
      <c r="E142" s="6" t="s">
        <v>37</v>
      </c>
      <c r="F142" s="6" t="s">
        <v>521</v>
      </c>
      <c r="G142" s="7" t="str">
        <f>HYPERLINK("https://www.google.com.au/maps/place/16° 50.172' S+145° 45.702' E","16° 50.172' S")</f>
        <v>16° 50.172' S</v>
      </c>
      <c r="H142" s="7" t="str">
        <f>HYPERLINK("https://www.google.com.au/maps/place/16° 50.172' S+145° 45.702' E","145° 45.702' E")</f>
        <v>145° 45.702' E</v>
      </c>
      <c r="I142" s="6" t="s">
        <v>101</v>
      </c>
      <c r="J142" s="6" t="s">
        <v>522</v>
      </c>
      <c r="K142" s="6" t="s">
        <v>523</v>
      </c>
      <c r="L142" s="6" t="s">
        <v>127</v>
      </c>
      <c r="M142" s="6" t="s">
        <v>54</v>
      </c>
      <c r="N142" s="6" t="s">
        <v>128</v>
      </c>
      <c r="O142" s="6" t="s">
        <v>31</v>
      </c>
      <c r="P142" s="8" t="s">
        <v>524</v>
      </c>
      <c r="Q142" s="1" t="s">
        <v>33</v>
      </c>
    </row>
    <row r="143" spans="2:17" ht="33.75" x14ac:dyDescent="0.2">
      <c r="B143" s="6" t="s">
        <v>525</v>
      </c>
      <c r="C143" s="6" t="s">
        <v>526</v>
      </c>
      <c r="D143" s="6" t="s">
        <v>36</v>
      </c>
      <c r="E143" s="6" t="s">
        <v>37</v>
      </c>
      <c r="F143" s="6" t="s">
        <v>527</v>
      </c>
      <c r="G143" s="7" t="str">
        <f>HYPERLINK("https://www.google.com.au/maps/place/34° 0.198' S+151° 4.128' E","34° 0.198' S")</f>
        <v>34° 0.198' S</v>
      </c>
      <c r="H143" s="7" t="str">
        <f>HYPERLINK("https://www.google.com.au/maps/place/34° 0.198' S+151° 4.128' E","151° 4.128' E")</f>
        <v>151° 4.128' E</v>
      </c>
      <c r="I143" s="6" t="s">
        <v>25</v>
      </c>
      <c r="J143" s="6" t="s">
        <v>38</v>
      </c>
      <c r="K143" s="6" t="s">
        <v>39</v>
      </c>
      <c r="L143" s="6" t="s">
        <v>40</v>
      </c>
      <c r="M143" s="6" t="s">
        <v>41</v>
      </c>
      <c r="N143" s="6" t="s">
        <v>42</v>
      </c>
      <c r="O143" s="6" t="s">
        <v>43</v>
      </c>
      <c r="P143" s="8" t="s">
        <v>528</v>
      </c>
      <c r="Q143" s="1" t="s">
        <v>33</v>
      </c>
    </row>
    <row r="144" spans="2:17" ht="33.75" x14ac:dyDescent="0.2">
      <c r="B144" s="6" t="s">
        <v>529</v>
      </c>
      <c r="C144" s="6" t="s">
        <v>530</v>
      </c>
      <c r="D144" s="6" t="s">
        <v>36</v>
      </c>
      <c r="E144" s="6" t="s">
        <v>37</v>
      </c>
      <c r="F144" s="6" t="s">
        <v>531</v>
      </c>
      <c r="G144" s="7" t="str">
        <f>HYPERLINK("https://www.google.com.au/maps/place/35° 18.42' S+149° 11.7' E","35° 18.42' S")</f>
        <v>35° 18.42' S</v>
      </c>
      <c r="H144" s="7" t="str">
        <f>HYPERLINK("https://www.google.com.au/maps/place/35° 18.42' S+149° 11.7' E","149° 11.7' E")</f>
        <v>149° 11.7' E</v>
      </c>
      <c r="I144" s="6" t="s">
        <v>61</v>
      </c>
      <c r="J144" s="6" t="s">
        <v>38</v>
      </c>
      <c r="K144" s="6" t="s">
        <v>39</v>
      </c>
      <c r="L144" s="6" t="s">
        <v>40</v>
      </c>
      <c r="M144" s="6" t="s">
        <v>41</v>
      </c>
      <c r="N144" s="6" t="s">
        <v>42</v>
      </c>
      <c r="O144" s="6" t="s">
        <v>43</v>
      </c>
      <c r="P144" s="8" t="s">
        <v>532</v>
      </c>
      <c r="Q144" s="1" t="s">
        <v>33</v>
      </c>
    </row>
    <row r="145" spans="2:17" ht="33.75" x14ac:dyDescent="0.2">
      <c r="B145" s="6" t="s">
        <v>533</v>
      </c>
      <c r="C145" s="6" t="s">
        <v>534</v>
      </c>
      <c r="D145" s="6" t="s">
        <v>36</v>
      </c>
      <c r="E145" s="6" t="s">
        <v>37</v>
      </c>
      <c r="F145" s="6" t="s">
        <v>535</v>
      </c>
      <c r="G145" s="7" t="str">
        <f>HYPERLINK("https://www.google.com.au/maps/place/34° 2.73' S+151° 11.568' E","34° 2.73' S")</f>
        <v>34° 2.73' S</v>
      </c>
      <c r="H145" s="7" t="str">
        <f>HYPERLINK("https://www.google.com.au/maps/place/34° 2.73' S+151° 11.568' E","151° 11.568' E")</f>
        <v>151° 11.568' E</v>
      </c>
      <c r="I145" s="6" t="s">
        <v>25</v>
      </c>
      <c r="J145" s="6" t="s">
        <v>38</v>
      </c>
      <c r="K145" s="6" t="s">
        <v>39</v>
      </c>
      <c r="L145" s="6" t="s">
        <v>40</v>
      </c>
      <c r="M145" s="6" t="s">
        <v>41</v>
      </c>
      <c r="N145" s="6" t="s">
        <v>62</v>
      </c>
      <c r="O145" s="6" t="s">
        <v>43</v>
      </c>
      <c r="P145" s="8" t="s">
        <v>536</v>
      </c>
      <c r="Q145" s="1" t="s">
        <v>33</v>
      </c>
    </row>
    <row r="146" spans="2:17" ht="33.75" x14ac:dyDescent="0.2">
      <c r="B146" s="6" t="s">
        <v>537</v>
      </c>
      <c r="C146" s="6" t="s">
        <v>538</v>
      </c>
      <c r="D146" s="6" t="s">
        <v>36</v>
      </c>
      <c r="E146" s="6" t="s">
        <v>37</v>
      </c>
      <c r="F146" s="6" t="s">
        <v>24</v>
      </c>
      <c r="G146" s="7" t="str">
        <f>HYPERLINK("https://www.google.com.au/maps/place/33° 56.772' S+151° 10.632' E","33° 56.772' S")</f>
        <v>33° 56.772' S</v>
      </c>
      <c r="H146" s="7" t="str">
        <f>HYPERLINK("https://www.google.com.au/maps/place/33° 56.772' S+151° 10.632' E","151° 10.632' E")</f>
        <v>151° 10.632' E</v>
      </c>
      <c r="I146" s="6" t="s">
        <v>25</v>
      </c>
      <c r="J146" s="6" t="s">
        <v>38</v>
      </c>
      <c r="K146" s="6" t="s">
        <v>39</v>
      </c>
      <c r="L146" s="6" t="s">
        <v>40</v>
      </c>
      <c r="M146" s="6" t="s">
        <v>41</v>
      </c>
      <c r="N146" s="6" t="s">
        <v>62</v>
      </c>
      <c r="O146" s="6" t="s">
        <v>43</v>
      </c>
      <c r="P146" s="8" t="s">
        <v>539</v>
      </c>
      <c r="Q146" s="1" t="s">
        <v>33</v>
      </c>
    </row>
    <row r="147" spans="2:17" ht="56.25" x14ac:dyDescent="0.2">
      <c r="B147" s="6" t="s">
        <v>540</v>
      </c>
      <c r="C147" s="6" t="s">
        <v>541</v>
      </c>
      <c r="D147" s="6" t="s">
        <v>36</v>
      </c>
      <c r="E147" s="6" t="s">
        <v>37</v>
      </c>
      <c r="F147" s="6" t="s">
        <v>24</v>
      </c>
      <c r="G147" s="7" t="str">
        <f>HYPERLINK("https://www.google.com.au/maps/place/33° 56.772' S+151° 10.632' E","33° 56.772' S")</f>
        <v>33° 56.772' S</v>
      </c>
      <c r="H147" s="7" t="str">
        <f>HYPERLINK("https://www.google.com.au/maps/place/33° 56.772' S+151° 10.632' E","151° 10.632' E")</f>
        <v>151° 10.632' E</v>
      </c>
      <c r="I147" s="6" t="s">
        <v>25</v>
      </c>
      <c r="J147" s="6" t="s">
        <v>295</v>
      </c>
      <c r="K147" s="6" t="s">
        <v>296</v>
      </c>
      <c r="L147" s="6" t="s">
        <v>28</v>
      </c>
      <c r="M147" s="6" t="s">
        <v>29</v>
      </c>
      <c r="N147" s="6" t="s">
        <v>128</v>
      </c>
      <c r="O147" s="6" t="s">
        <v>31</v>
      </c>
      <c r="P147" s="8" t="s">
        <v>542</v>
      </c>
      <c r="Q147" s="1" t="s">
        <v>33</v>
      </c>
    </row>
    <row r="148" spans="2:17" ht="33.75" x14ac:dyDescent="0.2">
      <c r="B148" s="6" t="s">
        <v>543</v>
      </c>
      <c r="C148" s="6" t="s">
        <v>544</v>
      </c>
      <c r="D148" s="6" t="s">
        <v>36</v>
      </c>
      <c r="E148" s="6" t="s">
        <v>37</v>
      </c>
      <c r="F148" s="6" t="s">
        <v>531</v>
      </c>
      <c r="G148" s="7" t="str">
        <f>HYPERLINK("https://www.google.com.au/maps/place/35° 18.42' S+149° 11.7' E","35° 18.42' S")</f>
        <v>35° 18.42' S</v>
      </c>
      <c r="H148" s="7" t="str">
        <f>HYPERLINK("https://www.google.com.au/maps/place/35° 18.42' S+149° 11.7' E","149° 11.7' E")</f>
        <v>149° 11.7' E</v>
      </c>
      <c r="I148" s="6" t="s">
        <v>61</v>
      </c>
      <c r="J148" s="6" t="s">
        <v>38</v>
      </c>
      <c r="K148" s="6" t="s">
        <v>39</v>
      </c>
      <c r="L148" s="6" t="s">
        <v>40</v>
      </c>
      <c r="M148" s="6" t="s">
        <v>41</v>
      </c>
      <c r="N148" s="6" t="s">
        <v>42</v>
      </c>
      <c r="O148" s="6" t="s">
        <v>302</v>
      </c>
      <c r="P148" s="8" t="s">
        <v>545</v>
      </c>
      <c r="Q148" s="1" t="s">
        <v>33</v>
      </c>
    </row>
    <row r="149" spans="2:17" ht="33.75" x14ac:dyDescent="0.2">
      <c r="B149" s="6" t="s">
        <v>546</v>
      </c>
      <c r="C149" s="6" t="s">
        <v>547</v>
      </c>
      <c r="D149" s="6" t="s">
        <v>36</v>
      </c>
      <c r="E149" s="6" t="s">
        <v>37</v>
      </c>
      <c r="F149" s="6" t="s">
        <v>90</v>
      </c>
      <c r="G149" s="7" t="str">
        <f>HYPERLINK("https://www.google.com.au/maps/place/36° 4.068' S+146° 57.48' E","36° 4.068' S")</f>
        <v>36° 4.068' S</v>
      </c>
      <c r="H149" s="7" t="str">
        <f>HYPERLINK("https://www.google.com.au/maps/place/36° 4.068' S+146° 57.48' E","146° 57.48' E")</f>
        <v>146° 57.48' E</v>
      </c>
      <c r="I149" s="6" t="s">
        <v>25</v>
      </c>
      <c r="J149" s="6" t="s">
        <v>38</v>
      </c>
      <c r="K149" s="6" t="s">
        <v>39</v>
      </c>
      <c r="L149" s="6" t="s">
        <v>40</v>
      </c>
      <c r="M149" s="6" t="s">
        <v>41</v>
      </c>
      <c r="N149" s="6" t="s">
        <v>62</v>
      </c>
      <c r="O149" s="6" t="s">
        <v>71</v>
      </c>
      <c r="P149" s="8" t="s">
        <v>548</v>
      </c>
      <c r="Q149" s="1" t="s">
        <v>33</v>
      </c>
    </row>
    <row r="150" spans="2:17" ht="33.75" x14ac:dyDescent="0.2">
      <c r="B150" s="6" t="s">
        <v>549</v>
      </c>
      <c r="C150" s="6" t="s">
        <v>550</v>
      </c>
      <c r="D150" s="6" t="s">
        <v>36</v>
      </c>
      <c r="E150" s="6" t="s">
        <v>37</v>
      </c>
      <c r="F150" s="6" t="s">
        <v>551</v>
      </c>
      <c r="G150" s="7" t="str">
        <f>HYPERLINK("https://www.google.com.au/maps/place/23° 22.92' S+150° 28.518' E","23° 22.92' S")</f>
        <v>23° 22.92' S</v>
      </c>
      <c r="H150" s="7" t="str">
        <f>HYPERLINK("https://www.google.com.au/maps/place/23° 22.92' S+150° 28.518' E","150° 28.518' E")</f>
        <v>150° 28.518' E</v>
      </c>
      <c r="I150" s="6" t="s">
        <v>101</v>
      </c>
      <c r="J150" s="6" t="s">
        <v>38</v>
      </c>
      <c r="K150" s="6" t="s">
        <v>39</v>
      </c>
      <c r="L150" s="6" t="s">
        <v>40</v>
      </c>
      <c r="M150" s="6" t="s">
        <v>41</v>
      </c>
      <c r="N150" s="6" t="s">
        <v>42</v>
      </c>
      <c r="O150" s="6" t="s">
        <v>43</v>
      </c>
      <c r="P150" s="8" t="s">
        <v>552</v>
      </c>
      <c r="Q150" s="1" t="s">
        <v>33</v>
      </c>
    </row>
    <row r="151" spans="2:17" ht="33.75" x14ac:dyDescent="0.2">
      <c r="B151" s="6" t="s">
        <v>553</v>
      </c>
      <c r="C151" s="6" t="s">
        <v>554</v>
      </c>
      <c r="D151" s="6" t="s">
        <v>36</v>
      </c>
      <c r="E151" s="6" t="s">
        <v>37</v>
      </c>
      <c r="F151" s="6" t="s">
        <v>555</v>
      </c>
      <c r="G151" s="7" t="str">
        <f>HYPERLINK("https://www.google.com.au/maps/place/27° 23.052' S+153° 7.05' E","27° 23.052' S")</f>
        <v>27° 23.052' S</v>
      </c>
      <c r="H151" s="7" t="str">
        <f>HYPERLINK("https://www.google.com.au/maps/place/27° 23.052' S+153° 7.05' E","153° 7.05' E")</f>
        <v>153° 7.05' E</v>
      </c>
      <c r="I151" s="6" t="s">
        <v>101</v>
      </c>
      <c r="J151" s="6" t="s">
        <v>38</v>
      </c>
      <c r="K151" s="6" t="s">
        <v>39</v>
      </c>
      <c r="L151" s="6" t="s">
        <v>40</v>
      </c>
      <c r="M151" s="6" t="s">
        <v>41</v>
      </c>
      <c r="N151" s="6" t="s">
        <v>42</v>
      </c>
      <c r="O151" s="6" t="s">
        <v>302</v>
      </c>
      <c r="P151" s="8" t="s">
        <v>556</v>
      </c>
      <c r="Q151" s="1" t="s">
        <v>33</v>
      </c>
    </row>
    <row r="152" spans="2:17" ht="33.75" x14ac:dyDescent="0.2">
      <c r="B152" s="6" t="s">
        <v>557</v>
      </c>
      <c r="C152" s="6" t="s">
        <v>558</v>
      </c>
      <c r="D152" s="6" t="s">
        <v>36</v>
      </c>
      <c r="E152" s="6" t="s">
        <v>37</v>
      </c>
      <c r="F152" s="6" t="s">
        <v>559</v>
      </c>
      <c r="G152" s="7" t="str">
        <f>HYPERLINK("https://www.google.com.au/maps/place/32° 56.622' S+151° 14.202' E","32° 56.622' S")</f>
        <v>32° 56.622' S</v>
      </c>
      <c r="H152" s="7" t="str">
        <f>HYPERLINK("https://www.google.com.au/maps/place/32° 56.622' S+151° 14.202' E","151° 14.202' E")</f>
        <v>151° 14.202' E</v>
      </c>
      <c r="I152" s="6" t="s">
        <v>25</v>
      </c>
      <c r="J152" s="6" t="s">
        <v>38</v>
      </c>
      <c r="K152" s="6" t="s">
        <v>39</v>
      </c>
      <c r="L152" s="6" t="s">
        <v>40</v>
      </c>
      <c r="M152" s="6" t="s">
        <v>41</v>
      </c>
      <c r="N152" s="6" t="s">
        <v>42</v>
      </c>
      <c r="O152" s="6" t="s">
        <v>302</v>
      </c>
      <c r="P152" s="8" t="s">
        <v>560</v>
      </c>
      <c r="Q152" s="1" t="s">
        <v>33</v>
      </c>
    </row>
    <row r="153" spans="2:17" ht="67.5" x14ac:dyDescent="0.2">
      <c r="B153" s="6" t="s">
        <v>561</v>
      </c>
      <c r="C153" s="6" t="s">
        <v>562</v>
      </c>
      <c r="D153" s="6" t="s">
        <v>36</v>
      </c>
      <c r="E153" s="6" t="s">
        <v>37</v>
      </c>
      <c r="F153" s="6" t="s">
        <v>563</v>
      </c>
      <c r="G153" s="7" t="str">
        <f>HYPERLINK("https://www.google.com.au/maps/place/23° 8.07' S+150° 31.182' E","23° 8.07' S")</f>
        <v>23° 8.07' S</v>
      </c>
      <c r="H153" s="7" t="str">
        <f>HYPERLINK("https://www.google.com.au/maps/place/23° 8.07' S+150° 31.182' E","150° 31.182' E")</f>
        <v>150° 31.182' E</v>
      </c>
      <c r="I153" s="6" t="s">
        <v>101</v>
      </c>
      <c r="J153" s="6" t="s">
        <v>564</v>
      </c>
      <c r="K153" s="6" t="s">
        <v>565</v>
      </c>
      <c r="L153" s="6" t="s">
        <v>566</v>
      </c>
      <c r="M153" s="6" t="s">
        <v>567</v>
      </c>
      <c r="N153" s="6" t="s">
        <v>86</v>
      </c>
      <c r="O153" s="6" t="s">
        <v>31</v>
      </c>
      <c r="P153" s="8" t="s">
        <v>568</v>
      </c>
      <c r="Q153" s="1" t="s">
        <v>33</v>
      </c>
    </row>
    <row r="154" spans="2:17" ht="33.75" x14ac:dyDescent="0.2">
      <c r="B154" s="6" t="s">
        <v>569</v>
      </c>
      <c r="C154" s="6" t="s">
        <v>570</v>
      </c>
      <c r="D154" s="6" t="s">
        <v>36</v>
      </c>
      <c r="E154" s="6" t="s">
        <v>37</v>
      </c>
      <c r="F154" s="6" t="s">
        <v>346</v>
      </c>
      <c r="G154" s="7" t="str">
        <f>HYPERLINK("https://www.google.com.au/maps/place/27° 23.052' S+153° 7.05' E","27° 23.052' S")</f>
        <v>27° 23.052' S</v>
      </c>
      <c r="H154" s="7" t="str">
        <f>HYPERLINK("https://www.google.com.au/maps/place/27° 23.052' S+153° 7.05' E","153° 7.05' E")</f>
        <v>153° 7.05' E</v>
      </c>
      <c r="I154" s="6" t="s">
        <v>101</v>
      </c>
      <c r="J154" s="6" t="s">
        <v>38</v>
      </c>
      <c r="K154" s="6" t="s">
        <v>39</v>
      </c>
      <c r="L154" s="6" t="s">
        <v>40</v>
      </c>
      <c r="M154" s="6" t="s">
        <v>41</v>
      </c>
      <c r="N154" s="6" t="s">
        <v>62</v>
      </c>
      <c r="O154" s="6" t="s">
        <v>43</v>
      </c>
      <c r="P154" s="8" t="s">
        <v>571</v>
      </c>
      <c r="Q154" s="1" t="s">
        <v>33</v>
      </c>
    </row>
    <row r="155" spans="2:17" ht="67.5" x14ac:dyDescent="0.2">
      <c r="B155" s="6" t="s">
        <v>572</v>
      </c>
      <c r="C155" s="6" t="s">
        <v>573</v>
      </c>
      <c r="D155" s="6" t="s">
        <v>36</v>
      </c>
      <c r="E155" s="6" t="s">
        <v>37</v>
      </c>
      <c r="F155" s="6" t="s">
        <v>574</v>
      </c>
      <c r="G155" s="7" t="str">
        <f>HYPERLINK("https://www.google.com.au/maps/place/32° 47.7' S+151° 50.07' E","32° 47.7' S")</f>
        <v>32° 47.7' S</v>
      </c>
      <c r="H155" s="7" t="str">
        <f>HYPERLINK("https://www.google.com.au/maps/place/32° 47.7' S+151° 50.07' E","151° 50.07' E")</f>
        <v>151° 50.07' E</v>
      </c>
      <c r="I155" s="6" t="s">
        <v>25</v>
      </c>
      <c r="J155" s="6" t="s">
        <v>26</v>
      </c>
      <c r="K155" s="6" t="s">
        <v>575</v>
      </c>
      <c r="L155" s="6" t="s">
        <v>145</v>
      </c>
      <c r="M155" s="6" t="s">
        <v>146</v>
      </c>
      <c r="N155" s="6" t="s">
        <v>86</v>
      </c>
      <c r="O155" s="6" t="s">
        <v>31</v>
      </c>
      <c r="P155" s="8" t="s">
        <v>576</v>
      </c>
      <c r="Q155" s="1" t="s">
        <v>33</v>
      </c>
    </row>
    <row r="156" spans="2:17" ht="33.75" x14ac:dyDescent="0.2">
      <c r="B156" s="6" t="s">
        <v>577</v>
      </c>
      <c r="C156" s="6" t="s">
        <v>578</v>
      </c>
      <c r="D156" s="6" t="s">
        <v>36</v>
      </c>
      <c r="E156" s="6" t="s">
        <v>37</v>
      </c>
      <c r="F156" s="6" t="s">
        <v>346</v>
      </c>
      <c r="G156" s="7" t="str">
        <f>HYPERLINK("https://www.google.com.au/maps/place/27° 23.052' S+153° 7.05' E","27° 23.052' S")</f>
        <v>27° 23.052' S</v>
      </c>
      <c r="H156" s="7" t="str">
        <f>HYPERLINK("https://www.google.com.au/maps/place/27° 23.052' S+153° 7.05' E","153° 7.05' E")</f>
        <v>153° 7.05' E</v>
      </c>
      <c r="I156" s="6" t="s">
        <v>101</v>
      </c>
      <c r="J156" s="6" t="s">
        <v>38</v>
      </c>
      <c r="K156" s="6" t="s">
        <v>39</v>
      </c>
      <c r="L156" s="6" t="s">
        <v>40</v>
      </c>
      <c r="M156" s="6" t="s">
        <v>41</v>
      </c>
      <c r="N156" s="6" t="s">
        <v>62</v>
      </c>
      <c r="O156" s="6" t="s">
        <v>43</v>
      </c>
      <c r="P156" s="8" t="s">
        <v>579</v>
      </c>
      <c r="Q156" s="1" t="s">
        <v>33</v>
      </c>
    </row>
    <row r="157" spans="2:17" ht="33.75" x14ac:dyDescent="0.2">
      <c r="B157" s="6" t="s">
        <v>580</v>
      </c>
      <c r="C157" s="6" t="s">
        <v>581</v>
      </c>
      <c r="D157" s="6" t="s">
        <v>36</v>
      </c>
      <c r="E157" s="6" t="s">
        <v>37</v>
      </c>
      <c r="F157" s="6" t="s">
        <v>582</v>
      </c>
      <c r="G157" s="7" t="str">
        <f>HYPERLINK("https://www.google.com.au/maps/place/23° 52.182' S+151° 13.368' E","23° 52.182' S")</f>
        <v>23° 52.182' S</v>
      </c>
      <c r="H157" s="7" t="str">
        <f>HYPERLINK("https://www.google.com.au/maps/place/23° 52.182' S+151° 13.368' E","151° 13.368' E")</f>
        <v>151° 13.368' E</v>
      </c>
      <c r="I157" s="6" t="s">
        <v>101</v>
      </c>
      <c r="J157" s="6" t="s">
        <v>38</v>
      </c>
      <c r="K157" s="6" t="s">
        <v>39</v>
      </c>
      <c r="L157" s="6" t="s">
        <v>40</v>
      </c>
      <c r="M157" s="6" t="s">
        <v>41</v>
      </c>
      <c r="N157" s="6" t="s">
        <v>102</v>
      </c>
      <c r="O157" s="6" t="s">
        <v>103</v>
      </c>
      <c r="P157" s="8" t="s">
        <v>583</v>
      </c>
      <c r="Q157" s="1" t="s">
        <v>33</v>
      </c>
    </row>
    <row r="158" spans="2:17" ht="33.75" x14ac:dyDescent="0.2">
      <c r="B158" s="6" t="s">
        <v>584</v>
      </c>
      <c r="C158" s="6" t="s">
        <v>585</v>
      </c>
      <c r="D158" s="6" t="s">
        <v>36</v>
      </c>
      <c r="E158" s="6" t="s">
        <v>37</v>
      </c>
      <c r="F158" s="6" t="s">
        <v>405</v>
      </c>
      <c r="G158" s="7" t="str">
        <f>HYPERLINK("https://www.google.com.au/maps/place/23° 22.92' S+150° 28.518' E","23° 22.92' S")</f>
        <v>23° 22.92' S</v>
      </c>
      <c r="H158" s="7" t="str">
        <f>HYPERLINK("https://www.google.com.au/maps/place/23° 22.92' S+150° 28.518' E","150° 28.518' E")</f>
        <v>150° 28.518' E</v>
      </c>
      <c r="I158" s="6" t="s">
        <v>101</v>
      </c>
      <c r="J158" s="6" t="s">
        <v>38</v>
      </c>
      <c r="K158" s="6" t="s">
        <v>39</v>
      </c>
      <c r="L158" s="6" t="s">
        <v>40</v>
      </c>
      <c r="M158" s="6" t="s">
        <v>41</v>
      </c>
      <c r="N158" s="6" t="s">
        <v>62</v>
      </c>
      <c r="O158" s="6" t="s">
        <v>71</v>
      </c>
      <c r="P158" s="8" t="s">
        <v>586</v>
      </c>
      <c r="Q158" s="1" t="s">
        <v>33</v>
      </c>
    </row>
    <row r="159" spans="2:17" ht="33.75" x14ac:dyDescent="0.2">
      <c r="B159" s="6" t="s">
        <v>587</v>
      </c>
      <c r="C159" s="6" t="s">
        <v>588</v>
      </c>
      <c r="D159" s="6" t="s">
        <v>36</v>
      </c>
      <c r="E159" s="6" t="s">
        <v>37</v>
      </c>
      <c r="F159" s="6" t="s">
        <v>378</v>
      </c>
      <c r="G159" s="7" t="str">
        <f>HYPERLINK("https://www.google.com.au/maps/place/22° 3.468' S+148° 4.65' E","22° 3.468' S")</f>
        <v>22° 3.468' S</v>
      </c>
      <c r="H159" s="7" t="str">
        <f>HYPERLINK("https://www.google.com.au/maps/place/22° 3.468' S+148° 4.65' E","148° 4.65' E")</f>
        <v>148° 4.65' E</v>
      </c>
      <c r="I159" s="6" t="s">
        <v>101</v>
      </c>
      <c r="J159" s="6" t="s">
        <v>38</v>
      </c>
      <c r="K159" s="6" t="s">
        <v>39</v>
      </c>
      <c r="L159" s="6" t="s">
        <v>40</v>
      </c>
      <c r="M159" s="6" t="s">
        <v>41</v>
      </c>
      <c r="N159" s="6" t="s">
        <v>102</v>
      </c>
      <c r="O159" s="6" t="s">
        <v>103</v>
      </c>
      <c r="P159" s="8" t="s">
        <v>589</v>
      </c>
      <c r="Q159" s="1" t="s">
        <v>33</v>
      </c>
    </row>
    <row r="160" spans="2:17" ht="33.75" x14ac:dyDescent="0.2">
      <c r="B160" s="6" t="s">
        <v>590</v>
      </c>
      <c r="C160" s="6" t="s">
        <v>591</v>
      </c>
      <c r="D160" s="6" t="s">
        <v>36</v>
      </c>
      <c r="E160" s="6" t="s">
        <v>37</v>
      </c>
      <c r="F160" s="6" t="s">
        <v>405</v>
      </c>
      <c r="G160" s="7" t="str">
        <f>HYPERLINK("https://www.google.com.au/maps/place/23° 22.92' S+150° 28.518' E","23° 22.92' S")</f>
        <v>23° 22.92' S</v>
      </c>
      <c r="H160" s="7" t="str">
        <f>HYPERLINK("https://www.google.com.au/maps/place/23° 22.92' S+150° 28.518' E","150° 28.518' E")</f>
        <v>150° 28.518' E</v>
      </c>
      <c r="I160" s="6" t="s">
        <v>101</v>
      </c>
      <c r="J160" s="6" t="s">
        <v>38</v>
      </c>
      <c r="K160" s="6" t="s">
        <v>39</v>
      </c>
      <c r="L160" s="6" t="s">
        <v>40</v>
      </c>
      <c r="M160" s="6" t="s">
        <v>41</v>
      </c>
      <c r="N160" s="6" t="s">
        <v>62</v>
      </c>
      <c r="O160" s="6" t="s">
        <v>71</v>
      </c>
      <c r="P160" s="8" t="s">
        <v>592</v>
      </c>
      <c r="Q160" s="1" t="s">
        <v>33</v>
      </c>
    </row>
    <row r="161" spans="2:17" ht="33.75" x14ac:dyDescent="0.2">
      <c r="B161" s="6" t="s">
        <v>593</v>
      </c>
      <c r="C161" s="6" t="s">
        <v>594</v>
      </c>
      <c r="D161" s="6" t="s">
        <v>36</v>
      </c>
      <c r="E161" s="6" t="s">
        <v>37</v>
      </c>
      <c r="F161" s="6" t="s">
        <v>24</v>
      </c>
      <c r="G161" s="7" t="str">
        <f>HYPERLINK("https://www.google.com.au/maps/place/33° 56.772' S+151° 10.632' E","33° 56.772' S")</f>
        <v>33° 56.772' S</v>
      </c>
      <c r="H161" s="7" t="str">
        <f>HYPERLINK("https://www.google.com.au/maps/place/33° 56.772' S+151° 10.632' E","151° 10.632' E")</f>
        <v>151° 10.632' E</v>
      </c>
      <c r="I161" s="6" t="s">
        <v>25</v>
      </c>
      <c r="J161" s="6" t="s">
        <v>38</v>
      </c>
      <c r="K161" s="6" t="s">
        <v>39</v>
      </c>
      <c r="L161" s="6" t="s">
        <v>40</v>
      </c>
      <c r="M161" s="6" t="s">
        <v>41</v>
      </c>
      <c r="N161" s="6" t="s">
        <v>62</v>
      </c>
      <c r="O161" s="6" t="s">
        <v>43</v>
      </c>
      <c r="P161" s="8" t="s">
        <v>595</v>
      </c>
      <c r="Q161" s="1" t="s">
        <v>33</v>
      </c>
    </row>
    <row r="162" spans="2:17" ht="33.75" x14ac:dyDescent="0.2">
      <c r="B162" s="6" t="s">
        <v>596</v>
      </c>
      <c r="C162" s="6" t="s">
        <v>597</v>
      </c>
      <c r="D162" s="6" t="s">
        <v>36</v>
      </c>
      <c r="E162" s="6" t="s">
        <v>37</v>
      </c>
      <c r="F162" s="6" t="s">
        <v>378</v>
      </c>
      <c r="G162" s="7" t="str">
        <f>HYPERLINK("https://www.google.com.au/maps/place/22° 3.468' S+148° 4.65' E","22° 3.468' S")</f>
        <v>22° 3.468' S</v>
      </c>
      <c r="H162" s="7" t="str">
        <f>HYPERLINK("https://www.google.com.au/maps/place/22° 3.468' S+148° 4.65' E","148° 4.65' E")</f>
        <v>148° 4.65' E</v>
      </c>
      <c r="I162" s="6" t="s">
        <v>101</v>
      </c>
      <c r="J162" s="6" t="s">
        <v>38</v>
      </c>
      <c r="K162" s="6" t="s">
        <v>39</v>
      </c>
      <c r="L162" s="6" t="s">
        <v>40</v>
      </c>
      <c r="M162" s="6" t="s">
        <v>41</v>
      </c>
      <c r="N162" s="6" t="s">
        <v>102</v>
      </c>
      <c r="O162" s="6" t="s">
        <v>103</v>
      </c>
      <c r="P162" s="8" t="s">
        <v>583</v>
      </c>
      <c r="Q162" s="1" t="s">
        <v>33</v>
      </c>
    </row>
    <row r="163" spans="2:17" ht="33.75" x14ac:dyDescent="0.2">
      <c r="B163" s="6" t="s">
        <v>598</v>
      </c>
      <c r="C163" s="6" t="s">
        <v>599</v>
      </c>
      <c r="D163" s="6" t="s">
        <v>36</v>
      </c>
      <c r="E163" s="6" t="s">
        <v>37</v>
      </c>
      <c r="F163" s="6" t="s">
        <v>187</v>
      </c>
      <c r="G163" s="7" t="str">
        <f>HYPERLINK("https://www.google.com.au/maps/place/31° 26.148' S+152° 51.798' E","31° 26.148' S")</f>
        <v>31° 26.148' S</v>
      </c>
      <c r="H163" s="7" t="str">
        <f>HYPERLINK("https://www.google.com.au/maps/place/31° 26.148' S+152° 51.798' E","152° 51.798' E")</f>
        <v>152° 51.798' E</v>
      </c>
      <c r="I163" s="6" t="s">
        <v>25</v>
      </c>
      <c r="J163" s="6" t="s">
        <v>38</v>
      </c>
      <c r="K163" s="6" t="s">
        <v>39</v>
      </c>
      <c r="L163" s="6" t="s">
        <v>40</v>
      </c>
      <c r="M163" s="6" t="s">
        <v>41</v>
      </c>
      <c r="N163" s="6" t="s">
        <v>102</v>
      </c>
      <c r="O163" s="6" t="s">
        <v>103</v>
      </c>
      <c r="P163" s="8" t="s">
        <v>600</v>
      </c>
      <c r="Q163" s="1" t="s">
        <v>33</v>
      </c>
    </row>
    <row r="164" spans="2:17" ht="33.75" x14ac:dyDescent="0.2">
      <c r="B164" s="6" t="s">
        <v>601</v>
      </c>
      <c r="C164" s="6" t="s">
        <v>602</v>
      </c>
      <c r="D164" s="6" t="s">
        <v>36</v>
      </c>
      <c r="E164" s="6" t="s">
        <v>37</v>
      </c>
      <c r="F164" s="6" t="s">
        <v>555</v>
      </c>
      <c r="G164" s="7" t="str">
        <f>HYPERLINK("https://www.google.com.au/maps/place/27° 23.052' S+153° 7.05' E","27° 23.052' S")</f>
        <v>27° 23.052' S</v>
      </c>
      <c r="H164" s="7" t="str">
        <f>HYPERLINK("https://www.google.com.au/maps/place/27° 23.052' S+153° 7.05' E","153° 7.05' E")</f>
        <v>153° 7.05' E</v>
      </c>
      <c r="I164" s="6" t="s">
        <v>101</v>
      </c>
      <c r="J164" s="6" t="s">
        <v>38</v>
      </c>
      <c r="K164" s="6" t="s">
        <v>39</v>
      </c>
      <c r="L164" s="6" t="s">
        <v>40</v>
      </c>
      <c r="M164" s="6" t="s">
        <v>41</v>
      </c>
      <c r="N164" s="6" t="s">
        <v>42</v>
      </c>
      <c r="O164" s="6" t="s">
        <v>43</v>
      </c>
      <c r="P164" s="8" t="s">
        <v>603</v>
      </c>
      <c r="Q164" s="1" t="s">
        <v>33</v>
      </c>
    </row>
    <row r="165" spans="2:17" ht="33.75" x14ac:dyDescent="0.2">
      <c r="B165" s="6" t="s">
        <v>604</v>
      </c>
      <c r="C165" s="6" t="s">
        <v>605</v>
      </c>
      <c r="D165" s="6" t="s">
        <v>36</v>
      </c>
      <c r="E165" s="6" t="s">
        <v>37</v>
      </c>
      <c r="F165" s="6" t="s">
        <v>378</v>
      </c>
      <c r="G165" s="7" t="str">
        <f>HYPERLINK("https://www.google.com.au/maps/place/22° 3.468' S+148° 4.65' E","22° 3.468' S")</f>
        <v>22° 3.468' S</v>
      </c>
      <c r="H165" s="7" t="str">
        <f>HYPERLINK("https://www.google.com.au/maps/place/22° 3.468' S+148° 4.65' E","148° 4.65' E")</f>
        <v>148° 4.65' E</v>
      </c>
      <c r="I165" s="6" t="s">
        <v>101</v>
      </c>
      <c r="J165" s="6" t="s">
        <v>38</v>
      </c>
      <c r="K165" s="6" t="s">
        <v>39</v>
      </c>
      <c r="L165" s="6" t="s">
        <v>40</v>
      </c>
      <c r="M165" s="6" t="s">
        <v>41</v>
      </c>
      <c r="N165" s="6" t="s">
        <v>102</v>
      </c>
      <c r="O165" s="6" t="s">
        <v>103</v>
      </c>
      <c r="P165" s="8" t="s">
        <v>606</v>
      </c>
      <c r="Q165" s="1" t="s">
        <v>33</v>
      </c>
    </row>
    <row r="166" spans="2:17" ht="33.75" x14ac:dyDescent="0.2">
      <c r="B166" s="6" t="s">
        <v>607</v>
      </c>
      <c r="C166" s="6" t="s">
        <v>608</v>
      </c>
      <c r="D166" s="6" t="s">
        <v>36</v>
      </c>
      <c r="E166" s="6" t="s">
        <v>37</v>
      </c>
      <c r="F166" s="6" t="s">
        <v>378</v>
      </c>
      <c r="G166" s="7" t="str">
        <f>HYPERLINK("https://www.google.com.au/maps/place/22° 3.468' S+148° 4.65' E","22° 3.468' S")</f>
        <v>22° 3.468' S</v>
      </c>
      <c r="H166" s="7" t="str">
        <f>HYPERLINK("https://www.google.com.au/maps/place/22° 3.468' S+148° 4.65' E","148° 4.65' E")</f>
        <v>148° 4.65' E</v>
      </c>
      <c r="I166" s="6" t="s">
        <v>101</v>
      </c>
      <c r="J166" s="6" t="s">
        <v>38</v>
      </c>
      <c r="K166" s="6" t="s">
        <v>39</v>
      </c>
      <c r="L166" s="6" t="s">
        <v>40</v>
      </c>
      <c r="M166" s="6" t="s">
        <v>41</v>
      </c>
      <c r="N166" s="6" t="s">
        <v>102</v>
      </c>
      <c r="O166" s="6" t="s">
        <v>103</v>
      </c>
      <c r="P166" s="8" t="s">
        <v>609</v>
      </c>
      <c r="Q166" s="1" t="s">
        <v>33</v>
      </c>
    </row>
    <row r="167" spans="2:17" ht="56.25" x14ac:dyDescent="0.2">
      <c r="B167" s="6" t="s">
        <v>610</v>
      </c>
      <c r="C167" s="6" t="s">
        <v>611</v>
      </c>
      <c r="D167" s="6" t="s">
        <v>36</v>
      </c>
      <c r="E167" s="6" t="s">
        <v>37</v>
      </c>
      <c r="F167" s="6" t="s">
        <v>612</v>
      </c>
      <c r="G167" s="7" t="str">
        <f>HYPERLINK("https://www.google.com.au/maps/place/36° 2.022' S+147° 4.428' E","36° 2.022' S")</f>
        <v>36° 2.022' S</v>
      </c>
      <c r="H167" s="7" t="str">
        <f>HYPERLINK("https://www.google.com.au/maps/place/36° 2.022' S+147° 4.428' E","147° 4.428' E")</f>
        <v>147° 4.428' E</v>
      </c>
      <c r="I167" s="6" t="s">
        <v>25</v>
      </c>
      <c r="J167" s="6" t="s">
        <v>91</v>
      </c>
      <c r="K167" s="6" t="s">
        <v>92</v>
      </c>
      <c r="L167" s="6" t="s">
        <v>391</v>
      </c>
      <c r="M167" s="6" t="s">
        <v>54</v>
      </c>
      <c r="N167" s="6" t="s">
        <v>128</v>
      </c>
      <c r="O167" s="6" t="s">
        <v>94</v>
      </c>
      <c r="P167" s="8" t="s">
        <v>613</v>
      </c>
      <c r="Q167" s="1" t="s">
        <v>33</v>
      </c>
    </row>
    <row r="168" spans="2:17" ht="33.75" x14ac:dyDescent="0.2">
      <c r="B168" s="6" t="s">
        <v>614</v>
      </c>
      <c r="C168" s="6" t="s">
        <v>615</v>
      </c>
      <c r="D168" s="6" t="s">
        <v>36</v>
      </c>
      <c r="E168" s="6" t="s">
        <v>37</v>
      </c>
      <c r="F168" s="6" t="s">
        <v>193</v>
      </c>
      <c r="G168" s="7" t="str">
        <f>HYPERLINK("https://www.google.com.au/maps/place/35° 18.42' S+149° 11.7' E","35° 18.42' S")</f>
        <v>35° 18.42' S</v>
      </c>
      <c r="H168" s="7" t="str">
        <f>HYPERLINK("https://www.google.com.au/maps/place/35° 18.42' S+149° 11.7' E","149° 11.7' E")</f>
        <v>149° 11.7' E</v>
      </c>
      <c r="I168" s="6" t="s">
        <v>61</v>
      </c>
      <c r="J168" s="6" t="s">
        <v>38</v>
      </c>
      <c r="K168" s="6" t="s">
        <v>39</v>
      </c>
      <c r="L168" s="6" t="s">
        <v>40</v>
      </c>
      <c r="M168" s="6" t="s">
        <v>41</v>
      </c>
      <c r="N168" s="6" t="s">
        <v>42</v>
      </c>
      <c r="O168" s="6" t="s">
        <v>43</v>
      </c>
      <c r="P168" s="8" t="s">
        <v>616</v>
      </c>
      <c r="Q168" s="1" t="s">
        <v>33</v>
      </c>
    </row>
    <row r="169" spans="2:17" ht="33.75" x14ac:dyDescent="0.2">
      <c r="B169" s="6" t="s">
        <v>617</v>
      </c>
      <c r="C169" s="6" t="s">
        <v>618</v>
      </c>
      <c r="D169" s="6" t="s">
        <v>36</v>
      </c>
      <c r="E169" s="6" t="s">
        <v>37</v>
      </c>
      <c r="F169" s="6" t="s">
        <v>619</v>
      </c>
      <c r="G169" s="7" t="str">
        <f>HYPERLINK("https://www.google.com.au/maps/place/37° 12.852' S+145° 49.728' E","37° 12.852' S")</f>
        <v>37° 12.852' S</v>
      </c>
      <c r="H169" s="7" t="str">
        <f>HYPERLINK("https://www.google.com.au/maps/place/37° 12.852' S+145° 49.728' E","145° 49.728' E")</f>
        <v>145° 49.728' E</v>
      </c>
      <c r="I169" s="6" t="s">
        <v>133</v>
      </c>
      <c r="J169" s="6" t="s">
        <v>38</v>
      </c>
      <c r="K169" s="6" t="s">
        <v>39</v>
      </c>
      <c r="L169" s="6" t="s">
        <v>40</v>
      </c>
      <c r="M169" s="6" t="s">
        <v>41</v>
      </c>
      <c r="N169" s="6" t="s">
        <v>42</v>
      </c>
      <c r="O169" s="6" t="s">
        <v>43</v>
      </c>
      <c r="P169" s="8" t="s">
        <v>620</v>
      </c>
      <c r="Q169" s="1" t="s">
        <v>33</v>
      </c>
    </row>
    <row r="170" spans="2:17" ht="33.75" x14ac:dyDescent="0.2">
      <c r="B170" s="6" t="s">
        <v>621</v>
      </c>
      <c r="C170" s="6" t="s">
        <v>622</v>
      </c>
      <c r="D170" s="6" t="s">
        <v>36</v>
      </c>
      <c r="E170" s="6" t="s">
        <v>37</v>
      </c>
      <c r="F170" s="6" t="s">
        <v>555</v>
      </c>
      <c r="G170" s="7" t="str">
        <f>HYPERLINK("https://www.google.com.au/maps/place/27° 23.052' S+153° 7.05' E","27° 23.052' S")</f>
        <v>27° 23.052' S</v>
      </c>
      <c r="H170" s="7" t="str">
        <f>HYPERLINK("https://www.google.com.au/maps/place/27° 23.052' S+153° 7.05' E","153° 7.05' E")</f>
        <v>153° 7.05' E</v>
      </c>
      <c r="I170" s="6" t="s">
        <v>101</v>
      </c>
      <c r="J170" s="6" t="s">
        <v>38</v>
      </c>
      <c r="K170" s="6" t="s">
        <v>39</v>
      </c>
      <c r="L170" s="6" t="s">
        <v>40</v>
      </c>
      <c r="M170" s="6" t="s">
        <v>41</v>
      </c>
      <c r="N170" s="6" t="s">
        <v>42</v>
      </c>
      <c r="O170" s="6" t="s">
        <v>43</v>
      </c>
      <c r="P170" s="8" t="s">
        <v>623</v>
      </c>
      <c r="Q170" s="1" t="s">
        <v>33</v>
      </c>
    </row>
    <row r="171" spans="2:17" ht="67.5" x14ac:dyDescent="0.2">
      <c r="B171" s="6" t="s">
        <v>624</v>
      </c>
      <c r="C171" s="6" t="s">
        <v>625</v>
      </c>
      <c r="D171" s="6" t="s">
        <v>36</v>
      </c>
      <c r="E171" s="6" t="s">
        <v>37</v>
      </c>
      <c r="F171" s="6" t="s">
        <v>514</v>
      </c>
      <c r="G171" s="7" t="str">
        <f>HYPERLINK("https://www.google.com.au/maps/place/23° 52.182' S+151° 13.368' E","23° 52.182' S")</f>
        <v>23° 52.182' S</v>
      </c>
      <c r="H171" s="7" t="str">
        <f>HYPERLINK("https://www.google.com.au/maps/place/23° 52.182' S+151° 13.368' E","151° 13.368' E")</f>
        <v>151° 13.368' E</v>
      </c>
      <c r="I171" s="6" t="s">
        <v>101</v>
      </c>
      <c r="J171" s="6" t="s">
        <v>626</v>
      </c>
      <c r="K171" s="6" t="s">
        <v>627</v>
      </c>
      <c r="L171" s="6" t="s">
        <v>127</v>
      </c>
      <c r="M171" s="6" t="s">
        <v>54</v>
      </c>
      <c r="N171" s="6" t="s">
        <v>55</v>
      </c>
      <c r="O171" s="6" t="s">
        <v>56</v>
      </c>
      <c r="P171" s="8" t="s">
        <v>628</v>
      </c>
      <c r="Q171" s="1" t="s">
        <v>33</v>
      </c>
    </row>
    <row r="172" spans="2:17" ht="33.75" x14ac:dyDescent="0.2">
      <c r="B172" s="6" t="s">
        <v>629</v>
      </c>
      <c r="C172" s="6" t="s">
        <v>630</v>
      </c>
      <c r="D172" s="6" t="s">
        <v>36</v>
      </c>
      <c r="E172" s="6" t="s">
        <v>37</v>
      </c>
      <c r="F172" s="6" t="s">
        <v>24</v>
      </c>
      <c r="G172" s="7" t="str">
        <f>HYPERLINK("https://www.google.com.au/maps/place/33° 56.772' S+151° 10.632' E","33° 56.772' S")</f>
        <v>33° 56.772' S</v>
      </c>
      <c r="H172" s="7" t="str">
        <f>HYPERLINK("https://www.google.com.au/maps/place/33° 56.772' S+151° 10.632' E","151° 10.632' E")</f>
        <v>151° 10.632' E</v>
      </c>
      <c r="I172" s="6" t="s">
        <v>25</v>
      </c>
      <c r="J172" s="6" t="s">
        <v>38</v>
      </c>
      <c r="K172" s="6" t="s">
        <v>39</v>
      </c>
      <c r="L172" s="6" t="s">
        <v>40</v>
      </c>
      <c r="M172" s="6" t="s">
        <v>41</v>
      </c>
      <c r="N172" s="6" t="s">
        <v>62</v>
      </c>
      <c r="O172" s="6" t="s">
        <v>43</v>
      </c>
      <c r="P172" s="8" t="s">
        <v>473</v>
      </c>
      <c r="Q172" s="1" t="s">
        <v>33</v>
      </c>
    </row>
    <row r="173" spans="2:17" ht="33.75" x14ac:dyDescent="0.2">
      <c r="B173" s="6" t="s">
        <v>631</v>
      </c>
      <c r="C173" s="6" t="s">
        <v>632</v>
      </c>
      <c r="D173" s="6" t="s">
        <v>36</v>
      </c>
      <c r="E173" s="6" t="s">
        <v>37</v>
      </c>
      <c r="F173" s="6" t="s">
        <v>117</v>
      </c>
      <c r="G173" s="7" t="str">
        <f>HYPERLINK("https://www.google.com.au/maps/place/33° 56.772' S+151° 10.632' E","33° 56.772' S")</f>
        <v>33° 56.772' S</v>
      </c>
      <c r="H173" s="7" t="str">
        <f>HYPERLINK("https://www.google.com.au/maps/place/33° 56.772' S+151° 10.632' E","151° 10.632' E")</f>
        <v>151° 10.632' E</v>
      </c>
      <c r="I173" s="6" t="s">
        <v>25</v>
      </c>
      <c r="J173" s="6" t="s">
        <v>38</v>
      </c>
      <c r="K173" s="6" t="s">
        <v>39</v>
      </c>
      <c r="L173" s="6" t="s">
        <v>40</v>
      </c>
      <c r="M173" s="6" t="s">
        <v>41</v>
      </c>
      <c r="N173" s="6" t="s">
        <v>42</v>
      </c>
      <c r="O173" s="6" t="s">
        <v>43</v>
      </c>
      <c r="P173" s="8" t="s">
        <v>291</v>
      </c>
      <c r="Q173" s="1" t="s">
        <v>33</v>
      </c>
    </row>
    <row r="174" spans="2:17" ht="33.75" x14ac:dyDescent="0.2">
      <c r="B174" s="6" t="s">
        <v>633</v>
      </c>
      <c r="C174" s="6" t="s">
        <v>634</v>
      </c>
      <c r="D174" s="6" t="s">
        <v>36</v>
      </c>
      <c r="E174" s="6" t="s">
        <v>37</v>
      </c>
      <c r="F174" s="6" t="s">
        <v>635</v>
      </c>
      <c r="G174" s="7" t="str">
        <f>HYPERLINK("https://www.google.com.au/maps/place/23° 34.05' S+148° 10.752' E","23° 34.05' S")</f>
        <v>23° 34.05' S</v>
      </c>
      <c r="H174" s="7" t="str">
        <f>HYPERLINK("https://www.google.com.au/maps/place/23° 34.05' S+148° 10.752' E","148° 10.752' E")</f>
        <v>148° 10.752' E</v>
      </c>
      <c r="I174" s="6" t="s">
        <v>101</v>
      </c>
      <c r="J174" s="6" t="s">
        <v>38</v>
      </c>
      <c r="K174" s="6" t="s">
        <v>39</v>
      </c>
      <c r="L174" s="6" t="s">
        <v>40</v>
      </c>
      <c r="M174" s="6" t="s">
        <v>41</v>
      </c>
      <c r="N174" s="6" t="s">
        <v>102</v>
      </c>
      <c r="O174" s="6" t="s">
        <v>103</v>
      </c>
      <c r="P174" s="8" t="s">
        <v>636</v>
      </c>
      <c r="Q174" s="1" t="s">
        <v>33</v>
      </c>
    </row>
    <row r="175" spans="2:17" ht="67.5" x14ac:dyDescent="0.2">
      <c r="B175" s="6" t="s">
        <v>637</v>
      </c>
      <c r="C175" s="6" t="s">
        <v>638</v>
      </c>
      <c r="D175" s="6" t="s">
        <v>36</v>
      </c>
      <c r="E175" s="6" t="s">
        <v>37</v>
      </c>
      <c r="F175" s="6" t="s">
        <v>24</v>
      </c>
      <c r="G175" s="7" t="str">
        <f>HYPERLINK("https://www.google.com.au/maps/place/33° 56.772' S+151° 10.632' E","33° 56.772' S")</f>
        <v>33° 56.772' S</v>
      </c>
      <c r="H175" s="7" t="str">
        <f>HYPERLINK("https://www.google.com.au/maps/place/33° 56.772' S+151° 10.632' E","151° 10.632' E")</f>
        <v>151° 10.632' E</v>
      </c>
      <c r="I175" s="6" t="s">
        <v>25</v>
      </c>
      <c r="J175" s="6" t="s">
        <v>26</v>
      </c>
      <c r="K175" s="6" t="s">
        <v>85</v>
      </c>
      <c r="L175" s="6" t="s">
        <v>28</v>
      </c>
      <c r="M175" s="6" t="s">
        <v>29</v>
      </c>
      <c r="N175" s="6" t="s">
        <v>128</v>
      </c>
      <c r="O175" s="6" t="s">
        <v>31</v>
      </c>
      <c r="P175" s="8" t="s">
        <v>639</v>
      </c>
      <c r="Q175" s="1" t="s">
        <v>33</v>
      </c>
    </row>
    <row r="176" spans="2:17" ht="33.75" x14ac:dyDescent="0.2">
      <c r="B176" s="6" t="s">
        <v>640</v>
      </c>
      <c r="C176" s="6" t="s">
        <v>641</v>
      </c>
      <c r="D176" s="6" t="s">
        <v>36</v>
      </c>
      <c r="E176" s="6" t="s">
        <v>37</v>
      </c>
      <c r="F176" s="6" t="s">
        <v>405</v>
      </c>
      <c r="G176" s="7" t="str">
        <f>HYPERLINK("https://www.google.com.au/maps/place/23° 22.92' S+150° 28.518' E","23° 22.92' S")</f>
        <v>23° 22.92' S</v>
      </c>
      <c r="H176" s="7" t="str">
        <f>HYPERLINK("https://www.google.com.au/maps/place/23° 22.92' S+150° 28.518' E","150° 28.518' E")</f>
        <v>150° 28.518' E</v>
      </c>
      <c r="I176" s="6" t="s">
        <v>101</v>
      </c>
      <c r="J176" s="6" t="s">
        <v>38</v>
      </c>
      <c r="K176" s="6" t="s">
        <v>39</v>
      </c>
      <c r="L176" s="6" t="s">
        <v>40</v>
      </c>
      <c r="M176" s="6" t="s">
        <v>41</v>
      </c>
      <c r="N176" s="6" t="s">
        <v>62</v>
      </c>
      <c r="O176" s="6" t="s">
        <v>71</v>
      </c>
      <c r="P176" s="8" t="s">
        <v>642</v>
      </c>
      <c r="Q176" s="1" t="s">
        <v>33</v>
      </c>
    </row>
    <row r="177" spans="2:17" ht="33.75" x14ac:dyDescent="0.2">
      <c r="B177" s="6" t="s">
        <v>643</v>
      </c>
      <c r="C177" s="6" t="s">
        <v>644</v>
      </c>
      <c r="D177" s="6" t="s">
        <v>36</v>
      </c>
      <c r="E177" s="6" t="s">
        <v>37</v>
      </c>
      <c r="F177" s="6" t="s">
        <v>645</v>
      </c>
      <c r="G177" s="7" t="str">
        <f>HYPERLINK("https://www.google.com.au/maps/place/36° 4.068' S+146° 57.48' E","36° 4.068' S")</f>
        <v>36° 4.068' S</v>
      </c>
      <c r="H177" s="7" t="str">
        <f>HYPERLINK("https://www.google.com.au/maps/place/36° 4.068' S+146° 57.48' E","146° 57.48' E")</f>
        <v>146° 57.48' E</v>
      </c>
      <c r="I177" s="6" t="s">
        <v>25</v>
      </c>
      <c r="J177" s="6" t="s">
        <v>38</v>
      </c>
      <c r="K177" s="6" t="s">
        <v>39</v>
      </c>
      <c r="L177" s="6" t="s">
        <v>40</v>
      </c>
      <c r="M177" s="6" t="s">
        <v>41</v>
      </c>
      <c r="N177" s="6" t="s">
        <v>42</v>
      </c>
      <c r="O177" s="6" t="s">
        <v>71</v>
      </c>
      <c r="P177" s="8" t="s">
        <v>646</v>
      </c>
      <c r="Q177" s="1" t="s">
        <v>33</v>
      </c>
    </row>
    <row r="178" spans="2:17" ht="56.25" x14ac:dyDescent="0.2">
      <c r="B178" s="6" t="s">
        <v>647</v>
      </c>
      <c r="C178" s="6" t="s">
        <v>648</v>
      </c>
      <c r="D178" s="6" t="s">
        <v>36</v>
      </c>
      <c r="E178" s="6" t="s">
        <v>37</v>
      </c>
      <c r="F178" s="6" t="s">
        <v>649</v>
      </c>
      <c r="G178" s="7" t="str">
        <f>HYPERLINK("https://www.google.com.au/maps/place/34° 4.602' S+151° 12.702' E","34° 4.602' S")</f>
        <v>34° 4.602' S</v>
      </c>
      <c r="H178" s="7" t="str">
        <f>HYPERLINK("https://www.google.com.au/maps/place/34° 4.602' S+151° 12.702' E","151° 12.702' E")</f>
        <v>151° 12.702' E</v>
      </c>
      <c r="I178" s="6" t="s">
        <v>25</v>
      </c>
      <c r="J178" s="6" t="s">
        <v>137</v>
      </c>
      <c r="K178" s="6" t="s">
        <v>650</v>
      </c>
      <c r="L178" s="6" t="s">
        <v>28</v>
      </c>
      <c r="M178" s="6" t="s">
        <v>29</v>
      </c>
      <c r="N178" s="6" t="s">
        <v>86</v>
      </c>
      <c r="O178" s="6" t="s">
        <v>31</v>
      </c>
      <c r="P178" s="8" t="s">
        <v>651</v>
      </c>
      <c r="Q178" s="1" t="s">
        <v>33</v>
      </c>
    </row>
    <row r="179" spans="2:17" ht="33.75" x14ac:dyDescent="0.2">
      <c r="B179" s="6" t="s">
        <v>647</v>
      </c>
      <c r="C179" s="6" t="s">
        <v>652</v>
      </c>
      <c r="D179" s="6" t="s">
        <v>36</v>
      </c>
      <c r="E179" s="6" t="s">
        <v>37</v>
      </c>
      <c r="F179" s="6" t="s">
        <v>653</v>
      </c>
      <c r="G179" s="7" t="str">
        <f>HYPERLINK("https://www.google.com.au/maps/place/24° 50.202' S+150° 20.052' E","24° 50.202' S")</f>
        <v>24° 50.202' S</v>
      </c>
      <c r="H179" s="7" t="str">
        <f>HYPERLINK("https://www.google.com.au/maps/place/24° 50.202' S+150° 20.052' E","150° 20.052' E")</f>
        <v>150° 20.052' E</v>
      </c>
      <c r="I179" s="6" t="s">
        <v>101</v>
      </c>
      <c r="J179" s="6" t="s">
        <v>38</v>
      </c>
      <c r="K179" s="6" t="s">
        <v>39</v>
      </c>
      <c r="L179" s="6" t="s">
        <v>40</v>
      </c>
      <c r="M179" s="6" t="s">
        <v>41</v>
      </c>
      <c r="N179" s="6" t="s">
        <v>42</v>
      </c>
      <c r="O179" s="6" t="s">
        <v>302</v>
      </c>
      <c r="P179" s="8" t="s">
        <v>654</v>
      </c>
      <c r="Q179" s="1" t="s">
        <v>33</v>
      </c>
    </row>
    <row r="180" spans="2:17" ht="33.75" x14ac:dyDescent="0.2">
      <c r="B180" s="6" t="s">
        <v>655</v>
      </c>
      <c r="C180" s="6" t="s">
        <v>656</v>
      </c>
      <c r="D180" s="6" t="s">
        <v>36</v>
      </c>
      <c r="E180" s="6" t="s">
        <v>37</v>
      </c>
      <c r="F180" s="6" t="s">
        <v>346</v>
      </c>
      <c r="G180" s="7" t="str">
        <f>HYPERLINK("https://www.google.com.au/maps/place/27° 23.052' S+153° 7.05' E","27° 23.052' S")</f>
        <v>27° 23.052' S</v>
      </c>
      <c r="H180" s="7" t="str">
        <f>HYPERLINK("https://www.google.com.au/maps/place/27° 23.052' S+153° 7.05' E","153° 7.05' E")</f>
        <v>153° 7.05' E</v>
      </c>
      <c r="I180" s="6" t="s">
        <v>101</v>
      </c>
      <c r="J180" s="6" t="s">
        <v>38</v>
      </c>
      <c r="K180" s="6" t="s">
        <v>39</v>
      </c>
      <c r="L180" s="6" t="s">
        <v>40</v>
      </c>
      <c r="M180" s="6" t="s">
        <v>41</v>
      </c>
      <c r="N180" s="6" t="s">
        <v>62</v>
      </c>
      <c r="O180" s="6" t="s">
        <v>43</v>
      </c>
      <c r="P180" s="8" t="s">
        <v>657</v>
      </c>
      <c r="Q180" s="1" t="s">
        <v>33</v>
      </c>
    </row>
    <row r="181" spans="2:17" ht="33.75" x14ac:dyDescent="0.2">
      <c r="B181" s="6" t="s">
        <v>658</v>
      </c>
      <c r="C181" s="6" t="s">
        <v>659</v>
      </c>
      <c r="D181" s="6" t="s">
        <v>36</v>
      </c>
      <c r="E181" s="6" t="s">
        <v>37</v>
      </c>
      <c r="F181" s="6" t="s">
        <v>582</v>
      </c>
      <c r="G181" s="7" t="str">
        <f>HYPERLINK("https://www.google.com.au/maps/place/23° 52.182' S+151° 13.368' E","23° 52.182' S")</f>
        <v>23° 52.182' S</v>
      </c>
      <c r="H181" s="7" t="str">
        <f>HYPERLINK("https://www.google.com.au/maps/place/23° 52.182' S+151° 13.368' E","151° 13.368' E")</f>
        <v>151° 13.368' E</v>
      </c>
      <c r="I181" s="6" t="s">
        <v>101</v>
      </c>
      <c r="J181" s="6" t="s">
        <v>38</v>
      </c>
      <c r="K181" s="6" t="s">
        <v>39</v>
      </c>
      <c r="L181" s="6" t="s">
        <v>40</v>
      </c>
      <c r="M181" s="6" t="s">
        <v>41</v>
      </c>
      <c r="N181" s="6" t="s">
        <v>102</v>
      </c>
      <c r="O181" s="6" t="s">
        <v>103</v>
      </c>
      <c r="P181" s="8" t="s">
        <v>660</v>
      </c>
      <c r="Q181" s="1" t="s">
        <v>33</v>
      </c>
    </row>
    <row r="182" spans="2:17" ht="33.75" x14ac:dyDescent="0.2">
      <c r="B182" s="6" t="s">
        <v>661</v>
      </c>
      <c r="C182" s="6" t="s">
        <v>662</v>
      </c>
      <c r="D182" s="6" t="s">
        <v>36</v>
      </c>
      <c r="E182" s="6" t="s">
        <v>37</v>
      </c>
      <c r="F182" s="6" t="s">
        <v>90</v>
      </c>
      <c r="G182" s="7" t="str">
        <f>HYPERLINK("https://www.google.com.au/maps/place/36° 4.068' S+146° 57.48' E","36° 4.068' S")</f>
        <v>36° 4.068' S</v>
      </c>
      <c r="H182" s="7" t="str">
        <f>HYPERLINK("https://www.google.com.au/maps/place/36° 4.068' S+146° 57.48' E","146° 57.48' E")</f>
        <v>146° 57.48' E</v>
      </c>
      <c r="I182" s="6" t="s">
        <v>25</v>
      </c>
      <c r="J182" s="6" t="s">
        <v>38</v>
      </c>
      <c r="K182" s="6" t="s">
        <v>39</v>
      </c>
      <c r="L182" s="6" t="s">
        <v>40</v>
      </c>
      <c r="M182" s="6" t="s">
        <v>41</v>
      </c>
      <c r="N182" s="6" t="s">
        <v>62</v>
      </c>
      <c r="O182" s="6" t="s">
        <v>71</v>
      </c>
      <c r="P182" s="8" t="s">
        <v>663</v>
      </c>
      <c r="Q182" s="1" t="s">
        <v>33</v>
      </c>
    </row>
    <row r="183" spans="2:17" ht="56.25" x14ac:dyDescent="0.2">
      <c r="B183" s="6" t="s">
        <v>664</v>
      </c>
      <c r="C183" s="6" t="s">
        <v>665</v>
      </c>
      <c r="D183" s="6" t="s">
        <v>36</v>
      </c>
      <c r="E183" s="6" t="s">
        <v>37</v>
      </c>
      <c r="F183" s="6" t="s">
        <v>69</v>
      </c>
      <c r="G183" s="7" t="str">
        <f>HYPERLINK("https://www.google.com.au/maps/place/31° 5.028' S+150° 50.802' E","31° 5.028' S")</f>
        <v>31° 5.028' S</v>
      </c>
      <c r="H183" s="7" t="str">
        <f>HYPERLINK("https://www.google.com.au/maps/place/31° 5.028' S+150° 50.802' E","150° 50.802' E")</f>
        <v>150° 50.802' E</v>
      </c>
      <c r="I183" s="6" t="s">
        <v>25</v>
      </c>
      <c r="J183" s="6" t="s">
        <v>295</v>
      </c>
      <c r="K183" s="6" t="s">
        <v>296</v>
      </c>
      <c r="L183" s="6" t="s">
        <v>28</v>
      </c>
      <c r="M183" s="6" t="s">
        <v>29</v>
      </c>
      <c r="N183" s="6" t="s">
        <v>128</v>
      </c>
      <c r="O183" s="6" t="s">
        <v>31</v>
      </c>
      <c r="P183" s="8" t="s">
        <v>666</v>
      </c>
      <c r="Q183" s="1" t="s">
        <v>33</v>
      </c>
    </row>
    <row r="184" spans="2:17" ht="56.25" x14ac:dyDescent="0.2">
      <c r="B184" s="6" t="s">
        <v>667</v>
      </c>
      <c r="C184" s="6" t="s">
        <v>668</v>
      </c>
      <c r="D184" s="6" t="s">
        <v>36</v>
      </c>
      <c r="E184" s="6" t="s">
        <v>37</v>
      </c>
      <c r="F184" s="6" t="s">
        <v>69</v>
      </c>
      <c r="G184" s="7" t="str">
        <f>HYPERLINK("https://www.google.com.au/maps/place/31° 5.028' S+150° 50.802' E","31° 5.028' S")</f>
        <v>31° 5.028' S</v>
      </c>
      <c r="H184" s="7" t="str">
        <f>HYPERLINK("https://www.google.com.au/maps/place/31° 5.028' S+150° 50.802' E","150° 50.802' E")</f>
        <v>150° 50.802' E</v>
      </c>
      <c r="I184" s="6" t="s">
        <v>25</v>
      </c>
      <c r="J184" s="6" t="s">
        <v>295</v>
      </c>
      <c r="K184" s="6" t="s">
        <v>296</v>
      </c>
      <c r="L184" s="6" t="s">
        <v>28</v>
      </c>
      <c r="M184" s="6" t="s">
        <v>29</v>
      </c>
      <c r="N184" s="6" t="s">
        <v>86</v>
      </c>
      <c r="O184" s="6" t="s">
        <v>31</v>
      </c>
      <c r="P184" s="8" t="s">
        <v>666</v>
      </c>
      <c r="Q184" s="1" t="s">
        <v>33</v>
      </c>
    </row>
    <row r="185" spans="2:17" ht="33.75" x14ac:dyDescent="0.2">
      <c r="B185" s="6" t="s">
        <v>669</v>
      </c>
      <c r="C185" s="6" t="s">
        <v>670</v>
      </c>
      <c r="D185" s="6" t="s">
        <v>36</v>
      </c>
      <c r="E185" s="6" t="s">
        <v>37</v>
      </c>
      <c r="F185" s="6" t="s">
        <v>635</v>
      </c>
      <c r="G185" s="7" t="str">
        <f>HYPERLINK("https://www.google.com.au/maps/place/23° 34.05' S+148° 10.752' E","23° 34.05' S")</f>
        <v>23° 34.05' S</v>
      </c>
      <c r="H185" s="7" t="str">
        <f>HYPERLINK("https://www.google.com.au/maps/place/23° 34.05' S+148° 10.752' E","148° 10.752' E")</f>
        <v>148° 10.752' E</v>
      </c>
      <c r="I185" s="6" t="s">
        <v>101</v>
      </c>
      <c r="J185" s="6" t="s">
        <v>38</v>
      </c>
      <c r="K185" s="6" t="s">
        <v>39</v>
      </c>
      <c r="L185" s="6" t="s">
        <v>40</v>
      </c>
      <c r="M185" s="6" t="s">
        <v>41</v>
      </c>
      <c r="N185" s="6" t="s">
        <v>102</v>
      </c>
      <c r="O185" s="6" t="s">
        <v>103</v>
      </c>
      <c r="P185" s="8" t="s">
        <v>470</v>
      </c>
      <c r="Q185" s="1" t="s">
        <v>33</v>
      </c>
    </row>
    <row r="186" spans="2:17" ht="33.75" x14ac:dyDescent="0.2">
      <c r="B186" s="6" t="s">
        <v>671</v>
      </c>
      <c r="C186" s="6" t="s">
        <v>672</v>
      </c>
      <c r="D186" s="6" t="s">
        <v>36</v>
      </c>
      <c r="E186" s="6" t="s">
        <v>37</v>
      </c>
      <c r="F186" s="6" t="s">
        <v>117</v>
      </c>
      <c r="G186" s="7" t="str">
        <f>HYPERLINK("https://www.google.com.au/maps/place/33° 56.772' S+151° 10.632' E","33° 56.772' S")</f>
        <v>33° 56.772' S</v>
      </c>
      <c r="H186" s="7" t="str">
        <f>HYPERLINK("https://www.google.com.au/maps/place/33° 56.772' S+151° 10.632' E","151° 10.632' E")</f>
        <v>151° 10.632' E</v>
      </c>
      <c r="I186" s="6" t="s">
        <v>25</v>
      </c>
      <c r="J186" s="6" t="s">
        <v>38</v>
      </c>
      <c r="K186" s="6" t="s">
        <v>39</v>
      </c>
      <c r="L186" s="6" t="s">
        <v>40</v>
      </c>
      <c r="M186" s="6" t="s">
        <v>41</v>
      </c>
      <c r="N186" s="6" t="s">
        <v>42</v>
      </c>
      <c r="O186" s="6" t="s">
        <v>43</v>
      </c>
      <c r="P186" s="8" t="s">
        <v>673</v>
      </c>
      <c r="Q186" s="1" t="s">
        <v>33</v>
      </c>
    </row>
    <row r="187" spans="2:17" ht="33.75" x14ac:dyDescent="0.2">
      <c r="B187" s="6" t="s">
        <v>674</v>
      </c>
      <c r="C187" s="6" t="s">
        <v>675</v>
      </c>
      <c r="D187" s="6" t="s">
        <v>36</v>
      </c>
      <c r="E187" s="6" t="s">
        <v>37</v>
      </c>
      <c r="F187" s="6" t="s">
        <v>346</v>
      </c>
      <c r="G187" s="7" t="str">
        <f>HYPERLINK("https://www.google.com.au/maps/place/27° 23.052' S+153° 7.05' E","27° 23.052' S")</f>
        <v>27° 23.052' S</v>
      </c>
      <c r="H187" s="7" t="str">
        <f>HYPERLINK("https://www.google.com.au/maps/place/27° 23.052' S+153° 7.05' E","153° 7.05' E")</f>
        <v>153° 7.05' E</v>
      </c>
      <c r="I187" s="6" t="s">
        <v>101</v>
      </c>
      <c r="J187" s="6" t="s">
        <v>38</v>
      </c>
      <c r="K187" s="6" t="s">
        <v>39</v>
      </c>
      <c r="L187" s="6" t="s">
        <v>40</v>
      </c>
      <c r="M187" s="6" t="s">
        <v>41</v>
      </c>
      <c r="N187" s="6" t="s">
        <v>62</v>
      </c>
      <c r="O187" s="6" t="s">
        <v>43</v>
      </c>
      <c r="P187" s="8" t="s">
        <v>676</v>
      </c>
      <c r="Q187" s="1" t="s">
        <v>33</v>
      </c>
    </row>
    <row r="188" spans="2:17" ht="33.75" x14ac:dyDescent="0.2">
      <c r="B188" s="6" t="s">
        <v>677</v>
      </c>
      <c r="C188" s="6" t="s">
        <v>678</v>
      </c>
      <c r="D188" s="6" t="s">
        <v>36</v>
      </c>
      <c r="E188" s="6" t="s">
        <v>37</v>
      </c>
      <c r="F188" s="6" t="s">
        <v>24</v>
      </c>
      <c r="G188" s="7" t="str">
        <f>HYPERLINK("https://www.google.com.au/maps/place/33° 56.772' S+151° 10.632' E","33° 56.772' S")</f>
        <v>33° 56.772' S</v>
      </c>
      <c r="H188" s="7" t="str">
        <f>HYPERLINK("https://www.google.com.au/maps/place/33° 56.772' S+151° 10.632' E","151° 10.632' E")</f>
        <v>151° 10.632' E</v>
      </c>
      <c r="I188" s="6" t="s">
        <v>25</v>
      </c>
      <c r="J188" s="6" t="s">
        <v>38</v>
      </c>
      <c r="K188" s="6" t="s">
        <v>39</v>
      </c>
      <c r="L188" s="6" t="s">
        <v>40</v>
      </c>
      <c r="M188" s="6" t="s">
        <v>41</v>
      </c>
      <c r="N188" s="6" t="s">
        <v>62</v>
      </c>
      <c r="O188" s="6" t="s">
        <v>43</v>
      </c>
      <c r="P188" s="8" t="s">
        <v>679</v>
      </c>
      <c r="Q188" s="1" t="s">
        <v>33</v>
      </c>
    </row>
    <row r="189" spans="2:17" ht="33.75" x14ac:dyDescent="0.2">
      <c r="B189" s="6" t="s">
        <v>680</v>
      </c>
      <c r="C189" s="6" t="s">
        <v>681</v>
      </c>
      <c r="D189" s="6" t="s">
        <v>36</v>
      </c>
      <c r="E189" s="6" t="s">
        <v>37</v>
      </c>
      <c r="F189" s="6" t="s">
        <v>555</v>
      </c>
      <c r="G189" s="7" t="str">
        <f>HYPERLINK("https://www.google.com.au/maps/place/27° 23.052' S+153° 7.05' E","27° 23.052' S")</f>
        <v>27° 23.052' S</v>
      </c>
      <c r="H189" s="7" t="str">
        <f>HYPERLINK("https://www.google.com.au/maps/place/27° 23.052' S+153° 7.05' E","153° 7.05' E")</f>
        <v>153° 7.05' E</v>
      </c>
      <c r="I189" s="6" t="s">
        <v>101</v>
      </c>
      <c r="J189" s="6" t="s">
        <v>38</v>
      </c>
      <c r="K189" s="6" t="s">
        <v>39</v>
      </c>
      <c r="L189" s="6" t="s">
        <v>40</v>
      </c>
      <c r="M189" s="6" t="s">
        <v>41</v>
      </c>
      <c r="N189" s="6" t="s">
        <v>62</v>
      </c>
      <c r="O189" s="6" t="s">
        <v>43</v>
      </c>
      <c r="P189" s="8" t="s">
        <v>682</v>
      </c>
      <c r="Q189" s="1" t="s">
        <v>33</v>
      </c>
    </row>
    <row r="190" spans="2:17" ht="33.75" x14ac:dyDescent="0.2">
      <c r="B190" s="6" t="s">
        <v>683</v>
      </c>
      <c r="C190" s="6" t="s">
        <v>684</v>
      </c>
      <c r="D190" s="6" t="s">
        <v>36</v>
      </c>
      <c r="E190" s="6" t="s">
        <v>37</v>
      </c>
      <c r="F190" s="6" t="s">
        <v>193</v>
      </c>
      <c r="G190" s="7" t="str">
        <f>HYPERLINK("https://www.google.com.au/maps/place/35° 18.42' S+149° 11.7' E","35° 18.42' S")</f>
        <v>35° 18.42' S</v>
      </c>
      <c r="H190" s="7" t="str">
        <f>HYPERLINK("https://www.google.com.au/maps/place/35° 18.42' S+149° 11.7' E","149° 11.7' E")</f>
        <v>149° 11.7' E</v>
      </c>
      <c r="I190" s="6" t="s">
        <v>61</v>
      </c>
      <c r="J190" s="6" t="s">
        <v>38</v>
      </c>
      <c r="K190" s="6" t="s">
        <v>39</v>
      </c>
      <c r="L190" s="6" t="s">
        <v>40</v>
      </c>
      <c r="M190" s="6" t="s">
        <v>41</v>
      </c>
      <c r="N190" s="6" t="s">
        <v>42</v>
      </c>
      <c r="O190" s="6" t="s">
        <v>461</v>
      </c>
      <c r="P190" s="8" t="s">
        <v>685</v>
      </c>
      <c r="Q190" s="1" t="s">
        <v>33</v>
      </c>
    </row>
    <row r="191" spans="2:17" ht="33.75" x14ac:dyDescent="0.2">
      <c r="B191" s="6" t="s">
        <v>686</v>
      </c>
      <c r="C191" s="6" t="s">
        <v>687</v>
      </c>
      <c r="D191" s="6" t="s">
        <v>36</v>
      </c>
      <c r="E191" s="6" t="s">
        <v>37</v>
      </c>
      <c r="F191" s="6" t="s">
        <v>117</v>
      </c>
      <c r="G191" s="7" t="str">
        <f>HYPERLINK("https://www.google.com.au/maps/place/33° 56.772' S+151° 10.632' E","33° 56.772' S")</f>
        <v>33° 56.772' S</v>
      </c>
      <c r="H191" s="7" t="str">
        <f>HYPERLINK("https://www.google.com.au/maps/place/33° 56.772' S+151° 10.632' E","151° 10.632' E")</f>
        <v>151° 10.632' E</v>
      </c>
      <c r="I191" s="6" t="s">
        <v>25</v>
      </c>
      <c r="J191" s="6" t="s">
        <v>38</v>
      </c>
      <c r="K191" s="6" t="s">
        <v>39</v>
      </c>
      <c r="L191" s="6" t="s">
        <v>40</v>
      </c>
      <c r="M191" s="6" t="s">
        <v>41</v>
      </c>
      <c r="N191" s="6" t="s">
        <v>42</v>
      </c>
      <c r="O191" s="6" t="s">
        <v>302</v>
      </c>
      <c r="P191" s="8" t="s">
        <v>688</v>
      </c>
      <c r="Q191" s="1" t="s">
        <v>33</v>
      </c>
    </row>
    <row r="192" spans="2:17" ht="33.75" x14ac:dyDescent="0.2">
      <c r="B192" s="6" t="s">
        <v>689</v>
      </c>
      <c r="C192" s="6" t="s">
        <v>690</v>
      </c>
      <c r="D192" s="6" t="s">
        <v>36</v>
      </c>
      <c r="E192" s="6" t="s">
        <v>37</v>
      </c>
      <c r="F192" s="6" t="s">
        <v>691</v>
      </c>
      <c r="G192" s="7" t="str">
        <f>HYPERLINK("https://www.google.com.au/maps/place/34° 16.332' S+151° 5.418' E","34° 16.332' S")</f>
        <v>34° 16.332' S</v>
      </c>
      <c r="H192" s="7" t="str">
        <f>HYPERLINK("https://www.google.com.au/maps/place/34° 16.332' S+151° 5.418' E","151° 5.418' E")</f>
        <v>151° 5.418' E</v>
      </c>
      <c r="I192" s="6" t="s">
        <v>25</v>
      </c>
      <c r="J192" s="6" t="s">
        <v>38</v>
      </c>
      <c r="K192" s="6" t="s">
        <v>39</v>
      </c>
      <c r="L192" s="6" t="s">
        <v>40</v>
      </c>
      <c r="M192" s="6" t="s">
        <v>41</v>
      </c>
      <c r="N192" s="6" t="s">
        <v>42</v>
      </c>
      <c r="O192" s="6" t="s">
        <v>302</v>
      </c>
      <c r="P192" s="8" t="s">
        <v>692</v>
      </c>
      <c r="Q192" s="1" t="s">
        <v>33</v>
      </c>
    </row>
    <row r="193" spans="2:17" ht="33.75" x14ac:dyDescent="0.2">
      <c r="B193" s="6" t="s">
        <v>693</v>
      </c>
      <c r="C193" s="6" t="s">
        <v>694</v>
      </c>
      <c r="D193" s="6" t="s">
        <v>36</v>
      </c>
      <c r="E193" s="6" t="s">
        <v>37</v>
      </c>
      <c r="F193" s="6" t="s">
        <v>24</v>
      </c>
      <c r="G193" s="7" t="str">
        <f>HYPERLINK("https://www.google.com.au/maps/place/33° 56.772' S+151° 10.632' E","33° 56.772' S")</f>
        <v>33° 56.772' S</v>
      </c>
      <c r="H193" s="7" t="str">
        <f>HYPERLINK("https://www.google.com.au/maps/place/33° 56.772' S+151° 10.632' E","151° 10.632' E")</f>
        <v>151° 10.632' E</v>
      </c>
      <c r="I193" s="6" t="s">
        <v>25</v>
      </c>
      <c r="J193" s="6" t="s">
        <v>38</v>
      </c>
      <c r="K193" s="6" t="s">
        <v>39</v>
      </c>
      <c r="L193" s="6" t="s">
        <v>40</v>
      </c>
      <c r="M193" s="6" t="s">
        <v>41</v>
      </c>
      <c r="N193" s="6" t="s">
        <v>62</v>
      </c>
      <c r="O193" s="6" t="s">
        <v>43</v>
      </c>
      <c r="P193" s="8" t="s">
        <v>695</v>
      </c>
      <c r="Q193" s="1" t="s">
        <v>33</v>
      </c>
    </row>
    <row r="194" spans="2:17" ht="33.75" x14ac:dyDescent="0.2">
      <c r="B194" s="6" t="s">
        <v>696</v>
      </c>
      <c r="C194" s="6" t="s">
        <v>697</v>
      </c>
      <c r="D194" s="6" t="s">
        <v>36</v>
      </c>
      <c r="E194" s="6" t="s">
        <v>37</v>
      </c>
      <c r="F194" s="6" t="s">
        <v>346</v>
      </c>
      <c r="G194" s="7" t="str">
        <f>HYPERLINK("https://www.google.com.au/maps/place/27° 23.052' S+153° 7.05' E","27° 23.052' S")</f>
        <v>27° 23.052' S</v>
      </c>
      <c r="H194" s="7" t="str">
        <f>HYPERLINK("https://www.google.com.au/maps/place/27° 23.052' S+153° 7.05' E","153° 7.05' E")</f>
        <v>153° 7.05' E</v>
      </c>
      <c r="I194" s="6" t="s">
        <v>101</v>
      </c>
      <c r="J194" s="6" t="s">
        <v>38</v>
      </c>
      <c r="K194" s="6" t="s">
        <v>39</v>
      </c>
      <c r="L194" s="6" t="s">
        <v>40</v>
      </c>
      <c r="M194" s="6" t="s">
        <v>41</v>
      </c>
      <c r="N194" s="6" t="s">
        <v>42</v>
      </c>
      <c r="O194" s="6" t="s">
        <v>43</v>
      </c>
      <c r="P194" s="8" t="s">
        <v>698</v>
      </c>
      <c r="Q194" s="1" t="s">
        <v>33</v>
      </c>
    </row>
    <row r="195" spans="2:17" ht="33.75" x14ac:dyDescent="0.2">
      <c r="B195" s="6" t="s">
        <v>696</v>
      </c>
      <c r="C195" s="6" t="s">
        <v>699</v>
      </c>
      <c r="D195" s="6" t="s">
        <v>36</v>
      </c>
      <c r="E195" s="6" t="s">
        <v>37</v>
      </c>
      <c r="F195" s="6" t="s">
        <v>700</v>
      </c>
      <c r="G195" s="7" t="str">
        <f>HYPERLINK("https://www.google.com.au/maps/place/25° 30.768' S+152° 11.952' E","25° 30.768' S")</f>
        <v>25° 30.768' S</v>
      </c>
      <c r="H195" s="7" t="str">
        <f>HYPERLINK("https://www.google.com.au/maps/place/25° 30.768' S+152° 11.952' E","152° 11.952' E")</f>
        <v>152° 11.952' E</v>
      </c>
      <c r="I195" s="6" t="s">
        <v>101</v>
      </c>
      <c r="J195" s="6" t="s">
        <v>38</v>
      </c>
      <c r="K195" s="6" t="s">
        <v>39</v>
      </c>
      <c r="L195" s="6" t="s">
        <v>40</v>
      </c>
      <c r="M195" s="6" t="s">
        <v>41</v>
      </c>
      <c r="N195" s="6" t="s">
        <v>42</v>
      </c>
      <c r="O195" s="6" t="s">
        <v>461</v>
      </c>
      <c r="P195" s="8" t="s">
        <v>701</v>
      </c>
      <c r="Q195" s="1" t="s">
        <v>702</v>
      </c>
    </row>
    <row r="196" spans="2:17" ht="45" x14ac:dyDescent="0.2">
      <c r="B196" s="6" t="s">
        <v>703</v>
      </c>
      <c r="C196" s="6" t="s">
        <v>704</v>
      </c>
      <c r="D196" s="6" t="s">
        <v>36</v>
      </c>
      <c r="E196" s="6" t="s">
        <v>37</v>
      </c>
      <c r="F196" s="6" t="s">
        <v>555</v>
      </c>
      <c r="G196" s="7" t="str">
        <f>HYPERLINK("https://www.google.com.au/maps/place/27° 23.052' S+153° 7.05' E","27° 23.052' S")</f>
        <v>27° 23.052' S</v>
      </c>
      <c r="H196" s="7" t="str">
        <f>HYPERLINK("https://www.google.com.au/maps/place/27° 23.052' S+153° 7.05' E","153° 7.05' E")</f>
        <v>153° 7.05' E</v>
      </c>
      <c r="I196" s="6" t="s">
        <v>101</v>
      </c>
      <c r="J196" s="6" t="s">
        <v>38</v>
      </c>
      <c r="K196" s="6" t="s">
        <v>39</v>
      </c>
      <c r="L196" s="6" t="s">
        <v>40</v>
      </c>
      <c r="M196" s="6" t="s">
        <v>41</v>
      </c>
      <c r="N196" s="6" t="s">
        <v>42</v>
      </c>
      <c r="O196" s="6" t="s">
        <v>43</v>
      </c>
      <c r="P196" s="8" t="s">
        <v>705</v>
      </c>
      <c r="Q196" s="1" t="s">
        <v>33</v>
      </c>
    </row>
    <row r="197" spans="2:17" ht="33.75" x14ac:dyDescent="0.2">
      <c r="B197" s="6" t="s">
        <v>706</v>
      </c>
      <c r="C197" s="6" t="s">
        <v>707</v>
      </c>
      <c r="D197" s="6" t="s">
        <v>36</v>
      </c>
      <c r="E197" s="6" t="s">
        <v>37</v>
      </c>
      <c r="F197" s="6" t="s">
        <v>193</v>
      </c>
      <c r="G197" s="7" t="str">
        <f>HYPERLINK("https://www.google.com.au/maps/place/35° 18.42' S+149° 11.7' E","35° 18.42' S")</f>
        <v>35° 18.42' S</v>
      </c>
      <c r="H197" s="7" t="str">
        <f>HYPERLINK("https://www.google.com.au/maps/place/35° 18.42' S+149° 11.7' E","149° 11.7' E")</f>
        <v>149° 11.7' E</v>
      </c>
      <c r="I197" s="6" t="s">
        <v>61</v>
      </c>
      <c r="J197" s="6" t="s">
        <v>38</v>
      </c>
      <c r="K197" s="6" t="s">
        <v>39</v>
      </c>
      <c r="L197" s="6" t="s">
        <v>40</v>
      </c>
      <c r="M197" s="6" t="s">
        <v>41</v>
      </c>
      <c r="N197" s="6" t="s">
        <v>62</v>
      </c>
      <c r="O197" s="6" t="s">
        <v>43</v>
      </c>
      <c r="P197" s="8" t="s">
        <v>708</v>
      </c>
      <c r="Q197" s="1" t="s">
        <v>33</v>
      </c>
    </row>
    <row r="198" spans="2:17" ht="33.75" x14ac:dyDescent="0.2">
      <c r="B198" s="6" t="s">
        <v>709</v>
      </c>
      <c r="C198" s="6" t="s">
        <v>710</v>
      </c>
      <c r="D198" s="6" t="s">
        <v>36</v>
      </c>
      <c r="E198" s="6" t="s">
        <v>37</v>
      </c>
      <c r="F198" s="6" t="s">
        <v>69</v>
      </c>
      <c r="G198" s="7" t="str">
        <f>HYPERLINK("https://www.google.com.au/maps/place/31° 5.028' S+150° 50.802' E","31° 5.028' S")</f>
        <v>31° 5.028' S</v>
      </c>
      <c r="H198" s="7" t="str">
        <f>HYPERLINK("https://www.google.com.au/maps/place/31° 5.028' S+150° 50.802' E","150° 50.802' E")</f>
        <v>150° 50.802' E</v>
      </c>
      <c r="I198" s="6" t="s">
        <v>25</v>
      </c>
      <c r="J198" s="6" t="s">
        <v>38</v>
      </c>
      <c r="K198" s="6" t="s">
        <v>39</v>
      </c>
      <c r="L198" s="6" t="s">
        <v>40</v>
      </c>
      <c r="M198" s="6" t="s">
        <v>41</v>
      </c>
      <c r="N198" s="6" t="s">
        <v>62</v>
      </c>
      <c r="O198" s="6" t="s">
        <v>71</v>
      </c>
      <c r="P198" s="8" t="s">
        <v>711</v>
      </c>
      <c r="Q198" s="1" t="s">
        <v>33</v>
      </c>
    </row>
    <row r="199" spans="2:17" ht="33.75" x14ac:dyDescent="0.2">
      <c r="B199" s="6" t="s">
        <v>712</v>
      </c>
      <c r="C199" s="6" t="s">
        <v>713</v>
      </c>
      <c r="D199" s="6" t="s">
        <v>36</v>
      </c>
      <c r="E199" s="6" t="s">
        <v>37</v>
      </c>
      <c r="F199" s="6" t="s">
        <v>555</v>
      </c>
      <c r="G199" s="7" t="str">
        <f>HYPERLINK("https://www.google.com.au/maps/place/27° 23.052' S+153° 7.05' E","27° 23.052' S")</f>
        <v>27° 23.052' S</v>
      </c>
      <c r="H199" s="7" t="str">
        <f>HYPERLINK("https://www.google.com.au/maps/place/27° 23.052' S+153° 7.05' E","153° 7.05' E")</f>
        <v>153° 7.05' E</v>
      </c>
      <c r="I199" s="6" t="s">
        <v>101</v>
      </c>
      <c r="J199" s="6" t="s">
        <v>38</v>
      </c>
      <c r="K199" s="6" t="s">
        <v>39</v>
      </c>
      <c r="L199" s="6" t="s">
        <v>40</v>
      </c>
      <c r="M199" s="6" t="s">
        <v>41</v>
      </c>
      <c r="N199" s="6" t="s">
        <v>42</v>
      </c>
      <c r="O199" s="6" t="s">
        <v>43</v>
      </c>
      <c r="P199" s="8" t="s">
        <v>714</v>
      </c>
      <c r="Q199" s="1" t="s">
        <v>33</v>
      </c>
    </row>
    <row r="200" spans="2:17" ht="33.75" x14ac:dyDescent="0.2">
      <c r="B200" s="6" t="s">
        <v>712</v>
      </c>
      <c r="C200" s="6" t="s">
        <v>715</v>
      </c>
      <c r="D200" s="6" t="s">
        <v>36</v>
      </c>
      <c r="E200" s="6" t="s">
        <v>37</v>
      </c>
      <c r="F200" s="6" t="s">
        <v>193</v>
      </c>
      <c r="G200" s="7" t="str">
        <f>HYPERLINK("https://www.google.com.au/maps/place/35° 18.42' S+149° 11.7' E","35° 18.42' S")</f>
        <v>35° 18.42' S</v>
      </c>
      <c r="H200" s="7" t="str">
        <f>HYPERLINK("https://www.google.com.au/maps/place/35° 18.42' S+149° 11.7' E","149° 11.7' E")</f>
        <v>149° 11.7' E</v>
      </c>
      <c r="I200" s="6" t="s">
        <v>61</v>
      </c>
      <c r="J200" s="6" t="s">
        <v>38</v>
      </c>
      <c r="K200" s="6" t="s">
        <v>39</v>
      </c>
      <c r="L200" s="6" t="s">
        <v>40</v>
      </c>
      <c r="M200" s="6" t="s">
        <v>41</v>
      </c>
      <c r="N200" s="6" t="s">
        <v>42</v>
      </c>
      <c r="O200" s="6" t="s">
        <v>43</v>
      </c>
      <c r="P200" s="8" t="s">
        <v>716</v>
      </c>
      <c r="Q200" s="1" t="s">
        <v>33</v>
      </c>
    </row>
    <row r="201" spans="2:17" ht="33.75" x14ac:dyDescent="0.2">
      <c r="B201" s="6" t="s">
        <v>717</v>
      </c>
      <c r="C201" s="6" t="s">
        <v>718</v>
      </c>
      <c r="D201" s="6" t="s">
        <v>36</v>
      </c>
      <c r="E201" s="6" t="s">
        <v>37</v>
      </c>
      <c r="F201" s="6" t="s">
        <v>582</v>
      </c>
      <c r="G201" s="7" t="str">
        <f>HYPERLINK("https://www.google.com.au/maps/place/23° 52.182' S+151° 13.368' E","23° 52.182' S")</f>
        <v>23° 52.182' S</v>
      </c>
      <c r="H201" s="7" t="str">
        <f>HYPERLINK("https://www.google.com.au/maps/place/23° 52.182' S+151° 13.368' E","151° 13.368' E")</f>
        <v>151° 13.368' E</v>
      </c>
      <c r="I201" s="6" t="s">
        <v>101</v>
      </c>
      <c r="J201" s="6" t="s">
        <v>38</v>
      </c>
      <c r="K201" s="6" t="s">
        <v>39</v>
      </c>
      <c r="L201" s="6" t="s">
        <v>40</v>
      </c>
      <c r="M201" s="6" t="s">
        <v>41</v>
      </c>
      <c r="N201" s="6" t="s">
        <v>102</v>
      </c>
      <c r="O201" s="6" t="s">
        <v>103</v>
      </c>
      <c r="P201" s="8" t="s">
        <v>660</v>
      </c>
      <c r="Q201" s="1" t="s">
        <v>33</v>
      </c>
    </row>
    <row r="202" spans="2:17" ht="33.75" x14ac:dyDescent="0.2">
      <c r="B202" s="6" t="s">
        <v>719</v>
      </c>
      <c r="C202" s="6" t="s">
        <v>720</v>
      </c>
      <c r="D202" s="6" t="s">
        <v>36</v>
      </c>
      <c r="E202" s="6" t="s">
        <v>37</v>
      </c>
      <c r="F202" s="6" t="s">
        <v>24</v>
      </c>
      <c r="G202" s="7" t="str">
        <f>HYPERLINK("https://www.google.com.au/maps/place/33° 56.772' S+151° 10.632' E","33° 56.772' S")</f>
        <v>33° 56.772' S</v>
      </c>
      <c r="H202" s="7" t="str">
        <f>HYPERLINK("https://www.google.com.au/maps/place/33° 56.772' S+151° 10.632' E","151° 10.632' E")</f>
        <v>151° 10.632' E</v>
      </c>
      <c r="I202" s="6" t="s">
        <v>25</v>
      </c>
      <c r="J202" s="6" t="s">
        <v>38</v>
      </c>
      <c r="K202" s="6" t="s">
        <v>39</v>
      </c>
      <c r="L202" s="6" t="s">
        <v>40</v>
      </c>
      <c r="M202" s="6" t="s">
        <v>41</v>
      </c>
      <c r="N202" s="6" t="s">
        <v>62</v>
      </c>
      <c r="O202" s="6" t="s">
        <v>43</v>
      </c>
      <c r="P202" s="8" t="s">
        <v>721</v>
      </c>
      <c r="Q202" s="1" t="s">
        <v>33</v>
      </c>
    </row>
    <row r="203" spans="2:17" ht="33.75" x14ac:dyDescent="0.2">
      <c r="B203" s="6" t="s">
        <v>722</v>
      </c>
      <c r="C203" s="6" t="s">
        <v>723</v>
      </c>
      <c r="D203" s="6" t="s">
        <v>36</v>
      </c>
      <c r="E203" s="6" t="s">
        <v>37</v>
      </c>
      <c r="F203" s="6" t="s">
        <v>69</v>
      </c>
      <c r="G203" s="7" t="str">
        <f>HYPERLINK("https://www.google.com.au/maps/place/31° 5.028' S+150° 50.802' E","31° 5.028' S")</f>
        <v>31° 5.028' S</v>
      </c>
      <c r="H203" s="7" t="str">
        <f>HYPERLINK("https://www.google.com.au/maps/place/31° 5.028' S+150° 50.802' E","150° 50.802' E")</f>
        <v>150° 50.802' E</v>
      </c>
      <c r="I203" s="6" t="s">
        <v>25</v>
      </c>
      <c r="J203" s="6" t="s">
        <v>38</v>
      </c>
      <c r="K203" s="6" t="s">
        <v>39</v>
      </c>
      <c r="L203" s="6" t="s">
        <v>40</v>
      </c>
      <c r="M203" s="6" t="s">
        <v>41</v>
      </c>
      <c r="N203" s="6" t="s">
        <v>62</v>
      </c>
      <c r="O203" s="6" t="s">
        <v>71</v>
      </c>
      <c r="P203" s="8" t="s">
        <v>724</v>
      </c>
      <c r="Q203" s="1" t="s">
        <v>33</v>
      </c>
    </row>
    <row r="204" spans="2:17" ht="33.75" x14ac:dyDescent="0.2">
      <c r="B204" s="6" t="s">
        <v>725</v>
      </c>
      <c r="C204" s="6" t="s">
        <v>726</v>
      </c>
      <c r="D204" s="6" t="s">
        <v>36</v>
      </c>
      <c r="E204" s="6" t="s">
        <v>37</v>
      </c>
      <c r="F204" s="6" t="s">
        <v>405</v>
      </c>
      <c r="G204" s="7" t="str">
        <f>HYPERLINK("https://www.google.com.au/maps/place/23° 22.92' S+150° 28.518' E","23° 22.92' S")</f>
        <v>23° 22.92' S</v>
      </c>
      <c r="H204" s="7" t="str">
        <f>HYPERLINK("https://www.google.com.au/maps/place/23° 22.92' S+150° 28.518' E","150° 28.518' E")</f>
        <v>150° 28.518' E</v>
      </c>
      <c r="I204" s="6" t="s">
        <v>101</v>
      </c>
      <c r="J204" s="6" t="s">
        <v>38</v>
      </c>
      <c r="K204" s="6" t="s">
        <v>39</v>
      </c>
      <c r="L204" s="6" t="s">
        <v>40</v>
      </c>
      <c r="M204" s="6" t="s">
        <v>41</v>
      </c>
      <c r="N204" s="6" t="s">
        <v>62</v>
      </c>
      <c r="O204" s="6" t="s">
        <v>71</v>
      </c>
      <c r="P204" s="8" t="s">
        <v>727</v>
      </c>
      <c r="Q204" s="1" t="s">
        <v>33</v>
      </c>
    </row>
    <row r="205" spans="2:17" ht="33.75" x14ac:dyDescent="0.2">
      <c r="B205" s="6" t="s">
        <v>728</v>
      </c>
      <c r="C205" s="6" t="s">
        <v>729</v>
      </c>
      <c r="D205" s="6" t="s">
        <v>36</v>
      </c>
      <c r="E205" s="6" t="s">
        <v>37</v>
      </c>
      <c r="F205" s="6" t="s">
        <v>60</v>
      </c>
      <c r="G205" s="7" t="str">
        <f>HYPERLINK("https://www.google.com.au/maps/place/35° 18.42' S+149° 11.7' E","35° 18.42' S")</f>
        <v>35° 18.42' S</v>
      </c>
      <c r="H205" s="7" t="str">
        <f>HYPERLINK("https://www.google.com.au/maps/place/35° 18.42' S+149° 11.7' E","149° 11.7' E")</f>
        <v>149° 11.7' E</v>
      </c>
      <c r="I205" s="6" t="s">
        <v>61</v>
      </c>
      <c r="J205" s="6" t="s">
        <v>38</v>
      </c>
      <c r="K205" s="6" t="s">
        <v>39</v>
      </c>
      <c r="L205" s="6" t="s">
        <v>40</v>
      </c>
      <c r="M205" s="6" t="s">
        <v>41</v>
      </c>
      <c r="N205" s="6" t="s">
        <v>62</v>
      </c>
      <c r="O205" s="6" t="s">
        <v>43</v>
      </c>
      <c r="P205" s="8" t="s">
        <v>730</v>
      </c>
      <c r="Q205" s="1" t="s">
        <v>33</v>
      </c>
    </row>
    <row r="206" spans="2:17" ht="33.75" x14ac:dyDescent="0.2">
      <c r="B206" s="6" t="s">
        <v>731</v>
      </c>
      <c r="C206" s="6" t="s">
        <v>732</v>
      </c>
      <c r="D206" s="6" t="s">
        <v>36</v>
      </c>
      <c r="E206" s="6" t="s">
        <v>37</v>
      </c>
      <c r="F206" s="6" t="s">
        <v>555</v>
      </c>
      <c r="G206" s="7" t="str">
        <f>HYPERLINK("https://www.google.com.au/maps/place/27° 23.052' S+153° 7.05' E","27° 23.052' S")</f>
        <v>27° 23.052' S</v>
      </c>
      <c r="H206" s="7" t="str">
        <f>HYPERLINK("https://www.google.com.au/maps/place/27° 23.052' S+153° 7.05' E","153° 7.05' E")</f>
        <v>153° 7.05' E</v>
      </c>
      <c r="I206" s="6" t="s">
        <v>101</v>
      </c>
      <c r="J206" s="6" t="s">
        <v>38</v>
      </c>
      <c r="K206" s="6" t="s">
        <v>39</v>
      </c>
      <c r="L206" s="6" t="s">
        <v>40</v>
      </c>
      <c r="M206" s="6" t="s">
        <v>41</v>
      </c>
      <c r="N206" s="6" t="s">
        <v>42</v>
      </c>
      <c r="O206" s="6" t="s">
        <v>43</v>
      </c>
      <c r="P206" s="8" t="s">
        <v>733</v>
      </c>
      <c r="Q206" s="1" t="s">
        <v>33</v>
      </c>
    </row>
    <row r="207" spans="2:17" ht="33.75" x14ac:dyDescent="0.2">
      <c r="B207" s="6" t="s">
        <v>731</v>
      </c>
      <c r="C207" s="6" t="s">
        <v>734</v>
      </c>
      <c r="D207" s="6" t="s">
        <v>36</v>
      </c>
      <c r="E207" s="6" t="s">
        <v>37</v>
      </c>
      <c r="F207" s="6" t="s">
        <v>24</v>
      </c>
      <c r="G207" s="7" t="str">
        <f>HYPERLINK("https://www.google.com.au/maps/place/33° 56.772' S+151° 10.632' E","33° 56.772' S")</f>
        <v>33° 56.772' S</v>
      </c>
      <c r="H207" s="7" t="str">
        <f>HYPERLINK("https://www.google.com.au/maps/place/33° 56.772' S+151° 10.632' E","151° 10.632' E")</f>
        <v>151° 10.632' E</v>
      </c>
      <c r="I207" s="6" t="s">
        <v>25</v>
      </c>
      <c r="J207" s="6" t="s">
        <v>38</v>
      </c>
      <c r="K207" s="6" t="s">
        <v>39</v>
      </c>
      <c r="L207" s="6" t="s">
        <v>40</v>
      </c>
      <c r="M207" s="6" t="s">
        <v>41</v>
      </c>
      <c r="N207" s="6" t="s">
        <v>62</v>
      </c>
      <c r="O207" s="6" t="s">
        <v>43</v>
      </c>
      <c r="P207" s="8" t="s">
        <v>735</v>
      </c>
      <c r="Q207" s="1" t="s">
        <v>33</v>
      </c>
    </row>
    <row r="208" spans="2:17" ht="33.75" x14ac:dyDescent="0.2">
      <c r="B208" s="6" t="s">
        <v>736</v>
      </c>
      <c r="C208" s="6" t="s">
        <v>737</v>
      </c>
      <c r="D208" s="6" t="s">
        <v>36</v>
      </c>
      <c r="E208" s="6" t="s">
        <v>37</v>
      </c>
      <c r="F208" s="6" t="s">
        <v>551</v>
      </c>
      <c r="G208" s="7" t="str">
        <f>HYPERLINK("https://www.google.com.au/maps/place/23° 22.92' S+150° 28.518' E","23° 22.92' S")</f>
        <v>23° 22.92' S</v>
      </c>
      <c r="H208" s="7" t="str">
        <f>HYPERLINK("https://www.google.com.au/maps/place/23° 22.92' S+150° 28.518' E","150° 28.518' E")</f>
        <v>150° 28.518' E</v>
      </c>
      <c r="I208" s="6" t="s">
        <v>101</v>
      </c>
      <c r="J208" s="6" t="s">
        <v>38</v>
      </c>
      <c r="K208" s="6" t="s">
        <v>39</v>
      </c>
      <c r="L208" s="6" t="s">
        <v>40</v>
      </c>
      <c r="M208" s="6" t="s">
        <v>41</v>
      </c>
      <c r="N208" s="6" t="s">
        <v>42</v>
      </c>
      <c r="O208" s="6" t="s">
        <v>461</v>
      </c>
      <c r="P208" s="8" t="s">
        <v>738</v>
      </c>
      <c r="Q208" s="1" t="s">
        <v>33</v>
      </c>
    </row>
    <row r="209" spans="2:17" ht="33.75" x14ac:dyDescent="0.2">
      <c r="B209" s="6" t="s">
        <v>739</v>
      </c>
      <c r="C209" s="6" t="s">
        <v>740</v>
      </c>
      <c r="D209" s="6" t="s">
        <v>36</v>
      </c>
      <c r="E209" s="6" t="s">
        <v>37</v>
      </c>
      <c r="F209" s="6" t="s">
        <v>378</v>
      </c>
      <c r="G209" s="7" t="str">
        <f>HYPERLINK("https://www.google.com.au/maps/place/22° 3.468' S+148° 4.65' E","22° 3.468' S")</f>
        <v>22° 3.468' S</v>
      </c>
      <c r="H209" s="7" t="str">
        <f>HYPERLINK("https://www.google.com.au/maps/place/22° 3.468' S+148° 4.65' E","148° 4.65' E")</f>
        <v>148° 4.65' E</v>
      </c>
      <c r="I209" s="6" t="s">
        <v>101</v>
      </c>
      <c r="J209" s="6" t="s">
        <v>38</v>
      </c>
      <c r="K209" s="6" t="s">
        <v>39</v>
      </c>
      <c r="L209" s="6" t="s">
        <v>40</v>
      </c>
      <c r="M209" s="6" t="s">
        <v>41</v>
      </c>
      <c r="N209" s="6" t="s">
        <v>102</v>
      </c>
      <c r="O209" s="6" t="s">
        <v>103</v>
      </c>
      <c r="P209" s="8" t="s">
        <v>741</v>
      </c>
      <c r="Q209" s="1" t="s">
        <v>33</v>
      </c>
    </row>
    <row r="210" spans="2:17" ht="33.75" x14ac:dyDescent="0.2">
      <c r="B210" s="6" t="s">
        <v>742</v>
      </c>
      <c r="C210" s="6" t="s">
        <v>743</v>
      </c>
      <c r="D210" s="6" t="s">
        <v>36</v>
      </c>
      <c r="E210" s="6" t="s">
        <v>37</v>
      </c>
      <c r="F210" s="6" t="s">
        <v>744</v>
      </c>
      <c r="G210" s="7" t="str">
        <f>HYPERLINK("https://www.google.com.au/maps/place/41° 32.718' S+147° 12.852' E","41° 32.718' S")</f>
        <v>41° 32.718' S</v>
      </c>
      <c r="H210" s="7" t="str">
        <f>HYPERLINK("https://www.google.com.au/maps/place/41° 32.718' S+147° 12.852' E","147° 12.852' E")</f>
        <v>147° 12.852' E</v>
      </c>
      <c r="I210" s="6" t="s">
        <v>745</v>
      </c>
      <c r="J210" s="6" t="s">
        <v>38</v>
      </c>
      <c r="K210" s="6" t="s">
        <v>39</v>
      </c>
      <c r="L210" s="6" t="s">
        <v>40</v>
      </c>
      <c r="M210" s="6" t="s">
        <v>41</v>
      </c>
      <c r="N210" s="6" t="s">
        <v>62</v>
      </c>
      <c r="O210" s="6" t="s">
        <v>71</v>
      </c>
      <c r="P210" s="8" t="s">
        <v>746</v>
      </c>
      <c r="Q210" s="1" t="s">
        <v>33</v>
      </c>
    </row>
    <row r="211" spans="2:17" ht="33.75" x14ac:dyDescent="0.2">
      <c r="B211" s="6" t="s">
        <v>747</v>
      </c>
      <c r="C211" s="6" t="s">
        <v>748</v>
      </c>
      <c r="D211" s="6" t="s">
        <v>36</v>
      </c>
      <c r="E211" s="6" t="s">
        <v>37</v>
      </c>
      <c r="F211" s="6" t="s">
        <v>378</v>
      </c>
      <c r="G211" s="7" t="str">
        <f>HYPERLINK("https://www.google.com.au/maps/place/22° 3.468' S+148° 4.65' E","22° 3.468' S")</f>
        <v>22° 3.468' S</v>
      </c>
      <c r="H211" s="7" t="str">
        <f>HYPERLINK("https://www.google.com.au/maps/place/22° 3.468' S+148° 4.65' E","148° 4.65' E")</f>
        <v>148° 4.65' E</v>
      </c>
      <c r="I211" s="6" t="s">
        <v>101</v>
      </c>
      <c r="J211" s="6" t="s">
        <v>38</v>
      </c>
      <c r="K211" s="6" t="s">
        <v>39</v>
      </c>
      <c r="L211" s="6" t="s">
        <v>40</v>
      </c>
      <c r="M211" s="6" t="s">
        <v>41</v>
      </c>
      <c r="N211" s="6" t="s">
        <v>102</v>
      </c>
      <c r="O211" s="6" t="s">
        <v>103</v>
      </c>
      <c r="P211" s="8" t="s">
        <v>470</v>
      </c>
      <c r="Q211" s="1" t="s">
        <v>33</v>
      </c>
    </row>
    <row r="212" spans="2:17" ht="33.75" x14ac:dyDescent="0.2">
      <c r="B212" s="6" t="s">
        <v>747</v>
      </c>
      <c r="C212" s="6" t="s">
        <v>749</v>
      </c>
      <c r="D212" s="6" t="s">
        <v>36</v>
      </c>
      <c r="E212" s="6" t="s">
        <v>37</v>
      </c>
      <c r="F212" s="6" t="s">
        <v>60</v>
      </c>
      <c r="G212" s="7" t="str">
        <f>HYPERLINK("https://www.google.com.au/maps/place/35° 18.42' S+149° 11.7' E","35° 18.42' S")</f>
        <v>35° 18.42' S</v>
      </c>
      <c r="H212" s="7" t="str">
        <f>HYPERLINK("https://www.google.com.au/maps/place/35° 18.42' S+149° 11.7' E","149° 11.7' E")</f>
        <v>149° 11.7' E</v>
      </c>
      <c r="I212" s="6" t="s">
        <v>61</v>
      </c>
      <c r="J212" s="6" t="s">
        <v>38</v>
      </c>
      <c r="K212" s="6" t="s">
        <v>39</v>
      </c>
      <c r="L212" s="6" t="s">
        <v>40</v>
      </c>
      <c r="M212" s="6" t="s">
        <v>41</v>
      </c>
      <c r="N212" s="6" t="s">
        <v>62</v>
      </c>
      <c r="O212" s="6" t="s">
        <v>43</v>
      </c>
      <c r="P212" s="8" t="s">
        <v>750</v>
      </c>
      <c r="Q212" s="1" t="s">
        <v>33</v>
      </c>
    </row>
    <row r="213" spans="2:17" ht="33.75" x14ac:dyDescent="0.2">
      <c r="B213" s="6" t="s">
        <v>751</v>
      </c>
      <c r="C213" s="6" t="s">
        <v>752</v>
      </c>
      <c r="D213" s="6" t="s">
        <v>36</v>
      </c>
      <c r="E213" s="6" t="s">
        <v>37</v>
      </c>
      <c r="F213" s="6" t="s">
        <v>193</v>
      </c>
      <c r="G213" s="7" t="str">
        <f>HYPERLINK("https://www.google.com.au/maps/place/35° 18.42' S+149° 11.7' E","35° 18.42' S")</f>
        <v>35° 18.42' S</v>
      </c>
      <c r="H213" s="7" t="str">
        <f>HYPERLINK("https://www.google.com.au/maps/place/35° 18.42' S+149° 11.7' E","149° 11.7' E")</f>
        <v>149° 11.7' E</v>
      </c>
      <c r="I213" s="6" t="s">
        <v>61</v>
      </c>
      <c r="J213" s="6" t="s">
        <v>38</v>
      </c>
      <c r="K213" s="6" t="s">
        <v>39</v>
      </c>
      <c r="L213" s="6" t="s">
        <v>40</v>
      </c>
      <c r="M213" s="6" t="s">
        <v>41</v>
      </c>
      <c r="N213" s="6" t="s">
        <v>42</v>
      </c>
      <c r="O213" s="6" t="s">
        <v>43</v>
      </c>
      <c r="P213" s="8" t="s">
        <v>753</v>
      </c>
      <c r="Q213" s="1" t="s">
        <v>33</v>
      </c>
    </row>
    <row r="214" spans="2:17" ht="33.75" x14ac:dyDescent="0.2">
      <c r="B214" s="6" t="s">
        <v>754</v>
      </c>
      <c r="C214" s="6" t="s">
        <v>755</v>
      </c>
      <c r="D214" s="6" t="s">
        <v>36</v>
      </c>
      <c r="E214" s="6" t="s">
        <v>37</v>
      </c>
      <c r="F214" s="6" t="s">
        <v>117</v>
      </c>
      <c r="G214" s="7" t="str">
        <f>HYPERLINK("https://www.google.com.au/maps/place/33° 56.772' S+151° 10.632' E","33° 56.772' S")</f>
        <v>33° 56.772' S</v>
      </c>
      <c r="H214" s="7" t="str">
        <f>HYPERLINK("https://www.google.com.au/maps/place/33° 56.772' S+151° 10.632' E","151° 10.632' E")</f>
        <v>151° 10.632' E</v>
      </c>
      <c r="I214" s="6" t="s">
        <v>25</v>
      </c>
      <c r="J214" s="6" t="s">
        <v>38</v>
      </c>
      <c r="K214" s="6" t="s">
        <v>39</v>
      </c>
      <c r="L214" s="6" t="s">
        <v>40</v>
      </c>
      <c r="M214" s="6" t="s">
        <v>41</v>
      </c>
      <c r="N214" s="6" t="s">
        <v>42</v>
      </c>
      <c r="O214" s="6" t="s">
        <v>43</v>
      </c>
      <c r="P214" s="8" t="s">
        <v>756</v>
      </c>
      <c r="Q214" s="1" t="s">
        <v>33</v>
      </c>
    </row>
    <row r="215" spans="2:17" ht="33.75" x14ac:dyDescent="0.2">
      <c r="B215" s="6" t="s">
        <v>757</v>
      </c>
      <c r="C215" s="6" t="s">
        <v>758</v>
      </c>
      <c r="D215" s="6" t="s">
        <v>36</v>
      </c>
      <c r="E215" s="6" t="s">
        <v>37</v>
      </c>
      <c r="F215" s="6" t="s">
        <v>60</v>
      </c>
      <c r="G215" s="7" t="str">
        <f>HYPERLINK("https://www.google.com.au/maps/place/35° 18.42' S+149° 11.7' E","35° 18.42' S")</f>
        <v>35° 18.42' S</v>
      </c>
      <c r="H215" s="7" t="str">
        <f>HYPERLINK("https://www.google.com.au/maps/place/35° 18.42' S+149° 11.7' E","149° 11.7' E")</f>
        <v>149° 11.7' E</v>
      </c>
      <c r="I215" s="6" t="s">
        <v>61</v>
      </c>
      <c r="J215" s="6" t="s">
        <v>38</v>
      </c>
      <c r="K215" s="6" t="s">
        <v>39</v>
      </c>
      <c r="L215" s="6" t="s">
        <v>40</v>
      </c>
      <c r="M215" s="6" t="s">
        <v>41</v>
      </c>
      <c r="N215" s="6" t="s">
        <v>62</v>
      </c>
      <c r="O215" s="6" t="s">
        <v>43</v>
      </c>
      <c r="P215" s="8" t="s">
        <v>759</v>
      </c>
      <c r="Q215" s="1" t="s">
        <v>33</v>
      </c>
    </row>
    <row r="216" spans="2:17" ht="33.75" x14ac:dyDescent="0.2">
      <c r="B216" s="6" t="s">
        <v>760</v>
      </c>
      <c r="C216" s="6" t="s">
        <v>761</v>
      </c>
      <c r="D216" s="6" t="s">
        <v>36</v>
      </c>
      <c r="E216" s="6" t="s">
        <v>37</v>
      </c>
      <c r="F216" s="6" t="s">
        <v>60</v>
      </c>
      <c r="G216" s="7" t="str">
        <f>HYPERLINK("https://www.google.com.au/maps/place/35° 18.42' S+149° 11.7' E","35° 18.42' S")</f>
        <v>35° 18.42' S</v>
      </c>
      <c r="H216" s="7" t="str">
        <f>HYPERLINK("https://www.google.com.au/maps/place/35° 18.42' S+149° 11.7' E","149° 11.7' E")</f>
        <v>149° 11.7' E</v>
      </c>
      <c r="I216" s="6" t="s">
        <v>61</v>
      </c>
      <c r="J216" s="6" t="s">
        <v>38</v>
      </c>
      <c r="K216" s="6" t="s">
        <v>39</v>
      </c>
      <c r="L216" s="6" t="s">
        <v>40</v>
      </c>
      <c r="M216" s="6" t="s">
        <v>41</v>
      </c>
      <c r="N216" s="6" t="s">
        <v>42</v>
      </c>
      <c r="O216" s="6" t="s">
        <v>43</v>
      </c>
      <c r="P216" s="8" t="s">
        <v>762</v>
      </c>
      <c r="Q216" s="1" t="s">
        <v>33</v>
      </c>
    </row>
    <row r="217" spans="2:17" ht="33.75" x14ac:dyDescent="0.2">
      <c r="B217" s="6" t="s">
        <v>763</v>
      </c>
      <c r="C217" s="6" t="s">
        <v>764</v>
      </c>
      <c r="D217" s="6" t="s">
        <v>36</v>
      </c>
      <c r="E217" s="6" t="s">
        <v>37</v>
      </c>
      <c r="F217" s="6" t="s">
        <v>765</v>
      </c>
      <c r="G217" s="7" t="str">
        <f>HYPERLINK("https://www.google.com.au/maps/place/23° 52.182' S+151° 13.368' E","23° 52.182' S")</f>
        <v>23° 52.182' S</v>
      </c>
      <c r="H217" s="7" t="str">
        <f>HYPERLINK("https://www.google.com.au/maps/place/23° 52.182' S+151° 13.368' E","151° 13.368' E")</f>
        <v>151° 13.368' E</v>
      </c>
      <c r="I217" s="6" t="s">
        <v>101</v>
      </c>
      <c r="J217" s="6" t="s">
        <v>38</v>
      </c>
      <c r="K217" s="6" t="s">
        <v>39</v>
      </c>
      <c r="L217" s="6" t="s">
        <v>40</v>
      </c>
      <c r="M217" s="6" t="s">
        <v>41</v>
      </c>
      <c r="N217" s="6" t="s">
        <v>42</v>
      </c>
      <c r="O217" s="6" t="s">
        <v>461</v>
      </c>
      <c r="P217" s="8" t="s">
        <v>766</v>
      </c>
      <c r="Q217" s="1" t="s">
        <v>33</v>
      </c>
    </row>
    <row r="218" spans="2:17" ht="33.75" x14ac:dyDescent="0.2">
      <c r="B218" s="6" t="s">
        <v>763</v>
      </c>
      <c r="C218" s="6" t="s">
        <v>767</v>
      </c>
      <c r="D218" s="6" t="s">
        <v>312</v>
      </c>
      <c r="E218" s="6" t="s">
        <v>37</v>
      </c>
      <c r="F218" s="6" t="s">
        <v>378</v>
      </c>
      <c r="G218" s="7" t="str">
        <f>HYPERLINK("https://www.google.com.au/maps/place/22° 3.468' S+148° 4.65' E","22° 3.468' S")</f>
        <v>22° 3.468' S</v>
      </c>
      <c r="H218" s="7" t="str">
        <f>HYPERLINK("https://www.google.com.au/maps/place/22° 3.468' S+148° 4.65' E","148° 4.65' E")</f>
        <v>148° 4.65' E</v>
      </c>
      <c r="I218" s="6" t="s">
        <v>101</v>
      </c>
      <c r="J218" s="6" t="s">
        <v>38</v>
      </c>
      <c r="K218" s="6" t="s">
        <v>39</v>
      </c>
      <c r="L218" s="6" t="s">
        <v>40</v>
      </c>
      <c r="M218" s="6" t="s">
        <v>41</v>
      </c>
      <c r="N218" s="6" t="s">
        <v>102</v>
      </c>
      <c r="O218" s="6" t="s">
        <v>103</v>
      </c>
      <c r="P218" s="8" t="s">
        <v>768</v>
      </c>
      <c r="Q218" s="1" t="s">
        <v>33</v>
      </c>
    </row>
    <row r="219" spans="2:17" ht="33.75" x14ac:dyDescent="0.2">
      <c r="B219" s="6" t="s">
        <v>769</v>
      </c>
      <c r="C219" s="6" t="s">
        <v>770</v>
      </c>
      <c r="D219" s="6" t="s">
        <v>36</v>
      </c>
      <c r="E219" s="6" t="s">
        <v>37</v>
      </c>
      <c r="F219" s="6" t="s">
        <v>555</v>
      </c>
      <c r="G219" s="7" t="str">
        <f>HYPERLINK("https://www.google.com.au/maps/place/27° 23.052' S+153° 7.05' E","27° 23.052' S")</f>
        <v>27° 23.052' S</v>
      </c>
      <c r="H219" s="7" t="str">
        <f>HYPERLINK("https://www.google.com.au/maps/place/27° 23.052' S+153° 7.05' E","153° 7.05' E")</f>
        <v>153° 7.05' E</v>
      </c>
      <c r="I219" s="6" t="s">
        <v>101</v>
      </c>
      <c r="J219" s="6" t="s">
        <v>38</v>
      </c>
      <c r="K219" s="6" t="s">
        <v>39</v>
      </c>
      <c r="L219" s="6" t="s">
        <v>40</v>
      </c>
      <c r="M219" s="6" t="s">
        <v>41</v>
      </c>
      <c r="N219" s="6" t="s">
        <v>62</v>
      </c>
      <c r="O219" s="6" t="s">
        <v>43</v>
      </c>
      <c r="P219" s="8" t="s">
        <v>771</v>
      </c>
      <c r="Q219" s="1" t="s">
        <v>33</v>
      </c>
    </row>
    <row r="220" spans="2:17" ht="33.75" x14ac:dyDescent="0.2">
      <c r="B220" s="6" t="s">
        <v>769</v>
      </c>
      <c r="C220" s="6" t="s">
        <v>772</v>
      </c>
      <c r="D220" s="6" t="s">
        <v>36</v>
      </c>
      <c r="E220" s="6" t="s">
        <v>37</v>
      </c>
      <c r="F220" s="6" t="s">
        <v>90</v>
      </c>
      <c r="G220" s="7" t="str">
        <f>HYPERLINK("https://www.google.com.au/maps/place/36° 4.068' S+146° 57.48' E","36° 4.068' S")</f>
        <v>36° 4.068' S</v>
      </c>
      <c r="H220" s="7" t="str">
        <f>HYPERLINK("https://www.google.com.au/maps/place/36° 4.068' S+146° 57.48' E","146° 57.48' E")</f>
        <v>146° 57.48' E</v>
      </c>
      <c r="I220" s="6" t="s">
        <v>25</v>
      </c>
      <c r="J220" s="6" t="s">
        <v>38</v>
      </c>
      <c r="K220" s="6" t="s">
        <v>39</v>
      </c>
      <c r="L220" s="6" t="s">
        <v>40</v>
      </c>
      <c r="M220" s="6" t="s">
        <v>41</v>
      </c>
      <c r="N220" s="6" t="s">
        <v>62</v>
      </c>
      <c r="O220" s="6" t="s">
        <v>71</v>
      </c>
      <c r="P220" s="8" t="s">
        <v>773</v>
      </c>
      <c r="Q220" s="1" t="s">
        <v>33</v>
      </c>
    </row>
    <row r="221" spans="2:17" ht="33.75" x14ac:dyDescent="0.2">
      <c r="B221" s="6" t="s">
        <v>774</v>
      </c>
      <c r="C221" s="6" t="s">
        <v>775</v>
      </c>
      <c r="D221" s="6" t="s">
        <v>36</v>
      </c>
      <c r="E221" s="6" t="s">
        <v>37</v>
      </c>
      <c r="F221" s="6" t="s">
        <v>24</v>
      </c>
      <c r="G221" s="7" t="str">
        <f>HYPERLINK("https://www.google.com.au/maps/place/33° 56.772' S+151° 10.632' E","33° 56.772' S")</f>
        <v>33° 56.772' S</v>
      </c>
      <c r="H221" s="7" t="str">
        <f>HYPERLINK("https://www.google.com.au/maps/place/33° 56.772' S+151° 10.632' E","151° 10.632' E")</f>
        <v>151° 10.632' E</v>
      </c>
      <c r="I221" s="6" t="s">
        <v>25</v>
      </c>
      <c r="J221" s="6" t="s">
        <v>38</v>
      </c>
      <c r="K221" s="6" t="s">
        <v>39</v>
      </c>
      <c r="L221" s="6" t="s">
        <v>40</v>
      </c>
      <c r="M221" s="6" t="s">
        <v>41</v>
      </c>
      <c r="N221" s="6" t="s">
        <v>62</v>
      </c>
      <c r="O221" s="6" t="s">
        <v>43</v>
      </c>
      <c r="P221" s="8" t="s">
        <v>776</v>
      </c>
      <c r="Q221" s="1" t="s">
        <v>33</v>
      </c>
    </row>
    <row r="222" spans="2:17" ht="33.75" x14ac:dyDescent="0.2">
      <c r="B222" s="6" t="s">
        <v>777</v>
      </c>
      <c r="C222" s="6" t="s">
        <v>778</v>
      </c>
      <c r="D222" s="6" t="s">
        <v>36</v>
      </c>
      <c r="E222" s="6" t="s">
        <v>37</v>
      </c>
      <c r="F222" s="6" t="s">
        <v>117</v>
      </c>
      <c r="G222" s="7" t="str">
        <f>HYPERLINK("https://www.google.com.au/maps/place/33° 56.772' S+151° 10.632' E","33° 56.772' S")</f>
        <v>33° 56.772' S</v>
      </c>
      <c r="H222" s="7" t="str">
        <f>HYPERLINK("https://www.google.com.au/maps/place/33° 56.772' S+151° 10.632' E","151° 10.632' E")</f>
        <v>151° 10.632' E</v>
      </c>
      <c r="I222" s="6" t="s">
        <v>25</v>
      </c>
      <c r="J222" s="6" t="s">
        <v>38</v>
      </c>
      <c r="K222" s="6" t="s">
        <v>39</v>
      </c>
      <c r="L222" s="6" t="s">
        <v>40</v>
      </c>
      <c r="M222" s="6" t="s">
        <v>41</v>
      </c>
      <c r="N222" s="6" t="s">
        <v>62</v>
      </c>
      <c r="O222" s="6" t="s">
        <v>43</v>
      </c>
      <c r="P222" s="8" t="s">
        <v>779</v>
      </c>
      <c r="Q222" s="1" t="s">
        <v>33</v>
      </c>
    </row>
    <row r="223" spans="2:17" ht="33.75" x14ac:dyDescent="0.2">
      <c r="B223" s="6" t="s">
        <v>780</v>
      </c>
      <c r="C223" s="6" t="s">
        <v>781</v>
      </c>
      <c r="D223" s="6" t="s">
        <v>36</v>
      </c>
      <c r="E223" s="6" t="s">
        <v>37</v>
      </c>
      <c r="F223" s="6" t="s">
        <v>782</v>
      </c>
      <c r="G223" s="7" t="str">
        <f>HYPERLINK("https://www.google.com.au/maps/place/37° 40.398' S+144° 50.598' E","37° 40.398' S")</f>
        <v>37° 40.398' S</v>
      </c>
      <c r="H223" s="7" t="str">
        <f>HYPERLINK("https://www.google.com.au/maps/place/37° 40.398' S+144° 50.598' E","144° 50.598' E")</f>
        <v>144° 50.598' E</v>
      </c>
      <c r="I223" s="6" t="s">
        <v>133</v>
      </c>
      <c r="J223" s="6" t="s">
        <v>38</v>
      </c>
      <c r="K223" s="6" t="s">
        <v>39</v>
      </c>
      <c r="L223" s="6" t="s">
        <v>40</v>
      </c>
      <c r="M223" s="6" t="s">
        <v>41</v>
      </c>
      <c r="N223" s="6" t="s">
        <v>42</v>
      </c>
      <c r="O223" s="6" t="s">
        <v>302</v>
      </c>
      <c r="P223" s="8" t="s">
        <v>783</v>
      </c>
      <c r="Q223" s="1" t="s">
        <v>33</v>
      </c>
    </row>
    <row r="224" spans="2:17" ht="67.5" x14ac:dyDescent="0.2">
      <c r="B224" s="6" t="s">
        <v>784</v>
      </c>
      <c r="C224" s="6" t="s">
        <v>785</v>
      </c>
      <c r="D224" s="6" t="s">
        <v>36</v>
      </c>
      <c r="E224" s="6" t="s">
        <v>37</v>
      </c>
      <c r="F224" s="6" t="s">
        <v>187</v>
      </c>
      <c r="G224" s="7" t="str">
        <f>HYPERLINK("https://www.google.com.au/maps/place/31° 26.148' S+152° 51.798' E","31° 26.148' S")</f>
        <v>31° 26.148' S</v>
      </c>
      <c r="H224" s="7" t="str">
        <f>HYPERLINK("https://www.google.com.au/maps/place/31° 26.148' S+152° 51.798' E","152° 51.798' E")</f>
        <v>152° 51.798' E</v>
      </c>
      <c r="I224" s="6" t="s">
        <v>25</v>
      </c>
      <c r="J224" s="6" t="s">
        <v>626</v>
      </c>
      <c r="K224" s="6" t="s">
        <v>627</v>
      </c>
      <c r="L224" s="6" t="s">
        <v>127</v>
      </c>
      <c r="M224" s="6" t="s">
        <v>54</v>
      </c>
      <c r="N224" s="6" t="s">
        <v>55</v>
      </c>
      <c r="O224" s="6" t="s">
        <v>56</v>
      </c>
      <c r="P224" s="8" t="s">
        <v>786</v>
      </c>
      <c r="Q224" s="1" t="s">
        <v>33</v>
      </c>
    </row>
    <row r="225" spans="2:17" ht="33.75" x14ac:dyDescent="0.2">
      <c r="B225" s="6" t="s">
        <v>787</v>
      </c>
      <c r="C225" s="6" t="s">
        <v>788</v>
      </c>
      <c r="D225" s="6" t="s">
        <v>36</v>
      </c>
      <c r="E225" s="6" t="s">
        <v>37</v>
      </c>
      <c r="F225" s="6" t="s">
        <v>117</v>
      </c>
      <c r="G225" s="7" t="str">
        <f>HYPERLINK("https://www.google.com.au/maps/place/33° 56.772' S+151° 10.632' E","33° 56.772' S")</f>
        <v>33° 56.772' S</v>
      </c>
      <c r="H225" s="7" t="str">
        <f>HYPERLINK("https://www.google.com.au/maps/place/33° 56.772' S+151° 10.632' E","151° 10.632' E")</f>
        <v>151° 10.632' E</v>
      </c>
      <c r="I225" s="6" t="s">
        <v>25</v>
      </c>
      <c r="J225" s="6" t="s">
        <v>38</v>
      </c>
      <c r="K225" s="6" t="s">
        <v>39</v>
      </c>
      <c r="L225" s="6" t="s">
        <v>40</v>
      </c>
      <c r="M225" s="6" t="s">
        <v>41</v>
      </c>
      <c r="N225" s="6" t="s">
        <v>62</v>
      </c>
      <c r="O225" s="6" t="s">
        <v>43</v>
      </c>
      <c r="P225" s="8" t="s">
        <v>789</v>
      </c>
      <c r="Q225" s="1" t="s">
        <v>33</v>
      </c>
    </row>
    <row r="226" spans="2:17" ht="33.75" x14ac:dyDescent="0.2">
      <c r="B226" s="6" t="s">
        <v>790</v>
      </c>
      <c r="C226" s="6" t="s">
        <v>791</v>
      </c>
      <c r="D226" s="6" t="s">
        <v>36</v>
      </c>
      <c r="E226" s="6" t="s">
        <v>37</v>
      </c>
      <c r="F226" s="6" t="s">
        <v>378</v>
      </c>
      <c r="G226" s="7" t="str">
        <f>HYPERLINK("https://www.google.com.au/maps/place/22° 3.468' S+148° 4.65' E","22° 3.468' S")</f>
        <v>22° 3.468' S</v>
      </c>
      <c r="H226" s="7" t="str">
        <f>HYPERLINK("https://www.google.com.au/maps/place/22° 3.468' S+148° 4.65' E","148° 4.65' E")</f>
        <v>148° 4.65' E</v>
      </c>
      <c r="I226" s="6" t="s">
        <v>101</v>
      </c>
      <c r="J226" s="6" t="s">
        <v>38</v>
      </c>
      <c r="K226" s="6" t="s">
        <v>39</v>
      </c>
      <c r="L226" s="6" t="s">
        <v>40</v>
      </c>
      <c r="M226" s="6" t="s">
        <v>41</v>
      </c>
      <c r="N226" s="6" t="s">
        <v>102</v>
      </c>
      <c r="O226" s="6" t="s">
        <v>103</v>
      </c>
      <c r="P226" s="8" t="s">
        <v>792</v>
      </c>
      <c r="Q226" s="1" t="s">
        <v>33</v>
      </c>
    </row>
    <row r="227" spans="2:17" ht="33.75" x14ac:dyDescent="0.2">
      <c r="B227" s="6" t="s">
        <v>793</v>
      </c>
      <c r="C227" s="6" t="s">
        <v>794</v>
      </c>
      <c r="D227" s="6" t="s">
        <v>36</v>
      </c>
      <c r="E227" s="6" t="s">
        <v>37</v>
      </c>
      <c r="F227" s="6" t="s">
        <v>24</v>
      </c>
      <c r="G227" s="7" t="str">
        <f>HYPERLINK("https://www.google.com.au/maps/place/33° 56.772' S+151° 10.632' E","33° 56.772' S")</f>
        <v>33° 56.772' S</v>
      </c>
      <c r="H227" s="7" t="str">
        <f>HYPERLINK("https://www.google.com.au/maps/place/33° 56.772' S+151° 10.632' E","151° 10.632' E")</f>
        <v>151° 10.632' E</v>
      </c>
      <c r="I227" s="6" t="s">
        <v>25</v>
      </c>
      <c r="J227" s="6" t="s">
        <v>38</v>
      </c>
      <c r="K227" s="6" t="s">
        <v>39</v>
      </c>
      <c r="L227" s="6" t="s">
        <v>40</v>
      </c>
      <c r="M227" s="6" t="s">
        <v>41</v>
      </c>
      <c r="N227" s="6" t="s">
        <v>42</v>
      </c>
      <c r="O227" s="6" t="s">
        <v>43</v>
      </c>
      <c r="P227" s="8" t="s">
        <v>795</v>
      </c>
      <c r="Q227" s="1" t="s">
        <v>33</v>
      </c>
    </row>
    <row r="228" spans="2:17" ht="33.75" x14ac:dyDescent="0.2">
      <c r="B228" s="6" t="s">
        <v>796</v>
      </c>
      <c r="C228" s="6" t="s">
        <v>797</v>
      </c>
      <c r="D228" s="6" t="s">
        <v>36</v>
      </c>
      <c r="E228" s="6" t="s">
        <v>37</v>
      </c>
      <c r="F228" s="6" t="s">
        <v>582</v>
      </c>
      <c r="G228" s="7" t="str">
        <f>HYPERLINK("https://www.google.com.au/maps/place/23° 52.182' S+151° 13.368' E","23° 52.182' S")</f>
        <v>23° 52.182' S</v>
      </c>
      <c r="H228" s="7" t="str">
        <f>HYPERLINK("https://www.google.com.au/maps/place/23° 52.182' S+151° 13.368' E","151° 13.368' E")</f>
        <v>151° 13.368' E</v>
      </c>
      <c r="I228" s="6" t="s">
        <v>101</v>
      </c>
      <c r="J228" s="6" t="s">
        <v>38</v>
      </c>
      <c r="K228" s="6" t="s">
        <v>39</v>
      </c>
      <c r="L228" s="6" t="s">
        <v>40</v>
      </c>
      <c r="M228" s="6" t="s">
        <v>41</v>
      </c>
      <c r="N228" s="6" t="s">
        <v>102</v>
      </c>
      <c r="O228" s="6" t="s">
        <v>103</v>
      </c>
      <c r="P228" s="8" t="s">
        <v>798</v>
      </c>
      <c r="Q228" s="1" t="s">
        <v>33</v>
      </c>
    </row>
    <row r="229" spans="2:17" ht="56.25" x14ac:dyDescent="0.2">
      <c r="B229" s="6" t="s">
        <v>796</v>
      </c>
      <c r="C229" s="6" t="s">
        <v>799</v>
      </c>
      <c r="D229" s="6" t="s">
        <v>36</v>
      </c>
      <c r="E229" s="6" t="s">
        <v>37</v>
      </c>
      <c r="F229" s="6" t="s">
        <v>800</v>
      </c>
      <c r="G229" s="7" t="str">
        <f>HYPERLINK("https://www.google.com.au/maps/place/26° 44.682' S+151° 40.77' E","26° 44.682' S")</f>
        <v>26° 44.682' S</v>
      </c>
      <c r="H229" s="7" t="str">
        <f>HYPERLINK("https://www.google.com.au/maps/place/26° 44.682' S+151° 40.77' E","151° 40.77' E")</f>
        <v>151° 40.77' E</v>
      </c>
      <c r="I229" s="6" t="s">
        <v>101</v>
      </c>
      <c r="J229" s="6" t="s">
        <v>295</v>
      </c>
      <c r="K229" s="6" t="s">
        <v>296</v>
      </c>
      <c r="L229" s="6" t="s">
        <v>28</v>
      </c>
      <c r="M229" s="6" t="s">
        <v>29</v>
      </c>
      <c r="N229" s="6" t="s">
        <v>86</v>
      </c>
      <c r="O229" s="6" t="s">
        <v>297</v>
      </c>
      <c r="P229" s="8" t="s">
        <v>801</v>
      </c>
      <c r="Q229" s="1" t="s">
        <v>33</v>
      </c>
    </row>
    <row r="230" spans="2:17" ht="33.75" x14ac:dyDescent="0.2">
      <c r="B230" s="6" t="s">
        <v>802</v>
      </c>
      <c r="C230" s="6" t="s">
        <v>803</v>
      </c>
      <c r="D230" s="6" t="s">
        <v>36</v>
      </c>
      <c r="E230" s="6" t="s">
        <v>37</v>
      </c>
      <c r="F230" s="6" t="s">
        <v>555</v>
      </c>
      <c r="G230" s="7" t="str">
        <f>HYPERLINK("https://www.google.com.au/maps/place/27° 23.052' S+153° 7.05' E","27° 23.052' S")</f>
        <v>27° 23.052' S</v>
      </c>
      <c r="H230" s="7" t="str">
        <f>HYPERLINK("https://www.google.com.au/maps/place/27° 23.052' S+153° 7.05' E","153° 7.05' E")</f>
        <v>153° 7.05' E</v>
      </c>
      <c r="I230" s="6" t="s">
        <v>101</v>
      </c>
      <c r="J230" s="6" t="s">
        <v>38</v>
      </c>
      <c r="K230" s="6" t="s">
        <v>39</v>
      </c>
      <c r="L230" s="6" t="s">
        <v>40</v>
      </c>
      <c r="M230" s="6" t="s">
        <v>41</v>
      </c>
      <c r="N230" s="6" t="s">
        <v>42</v>
      </c>
      <c r="O230" s="6" t="s">
        <v>43</v>
      </c>
      <c r="P230" s="8" t="s">
        <v>804</v>
      </c>
      <c r="Q230" s="1" t="s">
        <v>33</v>
      </c>
    </row>
    <row r="231" spans="2:17" ht="33.75" x14ac:dyDescent="0.2">
      <c r="B231" s="6" t="s">
        <v>802</v>
      </c>
      <c r="C231" s="6" t="s">
        <v>805</v>
      </c>
      <c r="D231" s="6" t="s">
        <v>36</v>
      </c>
      <c r="E231" s="6" t="s">
        <v>37</v>
      </c>
      <c r="F231" s="6" t="s">
        <v>60</v>
      </c>
      <c r="G231" s="7" t="str">
        <f>HYPERLINK("https://www.google.com.au/maps/place/35° 18.42' S+149° 11.7' E","35° 18.42' S")</f>
        <v>35° 18.42' S</v>
      </c>
      <c r="H231" s="7" t="str">
        <f>HYPERLINK("https://www.google.com.au/maps/place/35° 18.42' S+149° 11.7' E","149° 11.7' E")</f>
        <v>149° 11.7' E</v>
      </c>
      <c r="I231" s="6" t="s">
        <v>61</v>
      </c>
      <c r="J231" s="6" t="s">
        <v>38</v>
      </c>
      <c r="K231" s="6" t="s">
        <v>39</v>
      </c>
      <c r="L231" s="6" t="s">
        <v>40</v>
      </c>
      <c r="M231" s="6" t="s">
        <v>41</v>
      </c>
      <c r="N231" s="6" t="s">
        <v>62</v>
      </c>
      <c r="O231" s="6" t="s">
        <v>43</v>
      </c>
      <c r="P231" s="8" t="s">
        <v>806</v>
      </c>
      <c r="Q231" s="1" t="s">
        <v>33</v>
      </c>
    </row>
    <row r="232" spans="2:17" ht="33.75" x14ac:dyDescent="0.2">
      <c r="B232" s="6" t="s">
        <v>807</v>
      </c>
      <c r="C232" s="6" t="s">
        <v>808</v>
      </c>
      <c r="D232" s="6" t="s">
        <v>36</v>
      </c>
      <c r="E232" s="6" t="s">
        <v>37</v>
      </c>
      <c r="F232" s="6" t="s">
        <v>69</v>
      </c>
      <c r="G232" s="7" t="str">
        <f>HYPERLINK("https://www.google.com.au/maps/place/31° 5.028' S+150° 50.802' E","31° 5.028' S")</f>
        <v>31° 5.028' S</v>
      </c>
      <c r="H232" s="7" t="str">
        <f>HYPERLINK("https://www.google.com.au/maps/place/31° 5.028' S+150° 50.802' E","150° 50.802' E")</f>
        <v>150° 50.802' E</v>
      </c>
      <c r="I232" s="6" t="s">
        <v>25</v>
      </c>
      <c r="J232" s="6" t="s">
        <v>38</v>
      </c>
      <c r="K232" s="6" t="s">
        <v>39</v>
      </c>
      <c r="L232" s="6" t="s">
        <v>40</v>
      </c>
      <c r="M232" s="6" t="s">
        <v>41</v>
      </c>
      <c r="N232" s="6" t="s">
        <v>62</v>
      </c>
      <c r="O232" s="6" t="s">
        <v>71</v>
      </c>
      <c r="P232" s="8" t="s">
        <v>809</v>
      </c>
      <c r="Q232" s="1" t="s">
        <v>33</v>
      </c>
    </row>
    <row r="233" spans="2:17" ht="33.75" x14ac:dyDescent="0.2">
      <c r="B233" s="6" t="s">
        <v>810</v>
      </c>
      <c r="C233" s="6" t="s">
        <v>811</v>
      </c>
      <c r="D233" s="6" t="s">
        <v>36</v>
      </c>
      <c r="E233" s="6" t="s">
        <v>37</v>
      </c>
      <c r="F233" s="6" t="s">
        <v>812</v>
      </c>
      <c r="G233" s="7" t="str">
        <f>HYPERLINK("https://www.google.com.au/maps/place/28° 50.028' S+153° 33.75' E","28° 50.028' S")</f>
        <v>28° 50.028' S</v>
      </c>
      <c r="H233" s="7" t="str">
        <f>HYPERLINK("https://www.google.com.au/maps/place/28° 50.028' S+153° 33.75' E","153° 33.75' E")</f>
        <v>153° 33.75' E</v>
      </c>
      <c r="I233" s="6" t="s">
        <v>25</v>
      </c>
      <c r="J233" s="6" t="s">
        <v>38</v>
      </c>
      <c r="K233" s="6" t="s">
        <v>39</v>
      </c>
      <c r="L233" s="6" t="s">
        <v>40</v>
      </c>
      <c r="M233" s="6" t="s">
        <v>41</v>
      </c>
      <c r="N233" s="6" t="s">
        <v>102</v>
      </c>
      <c r="O233" s="6" t="s">
        <v>103</v>
      </c>
      <c r="P233" s="8" t="s">
        <v>813</v>
      </c>
      <c r="Q233" s="1" t="s">
        <v>33</v>
      </c>
    </row>
    <row r="234" spans="2:17" ht="33.75" x14ac:dyDescent="0.2">
      <c r="B234" s="6" t="s">
        <v>814</v>
      </c>
      <c r="C234" s="6" t="s">
        <v>815</v>
      </c>
      <c r="D234" s="6" t="s">
        <v>36</v>
      </c>
      <c r="E234" s="6" t="s">
        <v>37</v>
      </c>
      <c r="F234" s="6" t="s">
        <v>555</v>
      </c>
      <c r="G234" s="7" t="str">
        <f>HYPERLINK("https://www.google.com.au/maps/place/27° 23.052' S+153° 7.05' E","27° 23.052' S")</f>
        <v>27° 23.052' S</v>
      </c>
      <c r="H234" s="7" t="str">
        <f>HYPERLINK("https://www.google.com.au/maps/place/27° 23.052' S+153° 7.05' E","153° 7.05' E")</f>
        <v>153° 7.05' E</v>
      </c>
      <c r="I234" s="6" t="s">
        <v>101</v>
      </c>
      <c r="J234" s="6" t="s">
        <v>38</v>
      </c>
      <c r="K234" s="6" t="s">
        <v>39</v>
      </c>
      <c r="L234" s="6" t="s">
        <v>40</v>
      </c>
      <c r="M234" s="6" t="s">
        <v>41</v>
      </c>
      <c r="N234" s="6" t="s">
        <v>42</v>
      </c>
      <c r="O234" s="6" t="s">
        <v>302</v>
      </c>
      <c r="P234" s="8" t="s">
        <v>816</v>
      </c>
      <c r="Q234" s="1" t="s">
        <v>33</v>
      </c>
    </row>
    <row r="235" spans="2:17" ht="33.75" x14ac:dyDescent="0.2">
      <c r="B235" s="6" t="s">
        <v>814</v>
      </c>
      <c r="C235" s="6" t="s">
        <v>817</v>
      </c>
      <c r="D235" s="6" t="s">
        <v>36</v>
      </c>
      <c r="E235" s="6" t="s">
        <v>37</v>
      </c>
      <c r="F235" s="6" t="s">
        <v>555</v>
      </c>
      <c r="G235" s="7" t="str">
        <f>HYPERLINK("https://www.google.com.au/maps/place/27° 23.052' S+153° 7.05' E","27° 23.052' S")</f>
        <v>27° 23.052' S</v>
      </c>
      <c r="H235" s="7" t="str">
        <f>HYPERLINK("https://www.google.com.au/maps/place/27° 23.052' S+153° 7.05' E","153° 7.05' E")</f>
        <v>153° 7.05' E</v>
      </c>
      <c r="I235" s="6" t="s">
        <v>101</v>
      </c>
      <c r="J235" s="6" t="s">
        <v>38</v>
      </c>
      <c r="K235" s="6" t="s">
        <v>39</v>
      </c>
      <c r="L235" s="6" t="s">
        <v>40</v>
      </c>
      <c r="M235" s="6" t="s">
        <v>41</v>
      </c>
      <c r="N235" s="6" t="s">
        <v>42</v>
      </c>
      <c r="O235" s="6" t="s">
        <v>302</v>
      </c>
      <c r="P235" s="8" t="s">
        <v>818</v>
      </c>
      <c r="Q235" s="1" t="s">
        <v>702</v>
      </c>
    </row>
    <row r="236" spans="2:17" ht="33.75" x14ac:dyDescent="0.2">
      <c r="B236" s="6" t="s">
        <v>814</v>
      </c>
      <c r="C236" s="6" t="s">
        <v>819</v>
      </c>
      <c r="D236" s="6" t="s">
        <v>36</v>
      </c>
      <c r="E236" s="6" t="s">
        <v>37</v>
      </c>
      <c r="F236" s="6" t="s">
        <v>346</v>
      </c>
      <c r="G236" s="7" t="str">
        <f>HYPERLINK("https://www.google.com.au/maps/place/27° 23.052' S+153° 7.05' E","27° 23.052' S")</f>
        <v>27° 23.052' S</v>
      </c>
      <c r="H236" s="7" t="str">
        <f>HYPERLINK("https://www.google.com.au/maps/place/27° 23.052' S+153° 7.05' E","153° 7.05' E")</f>
        <v>153° 7.05' E</v>
      </c>
      <c r="I236" s="6" t="s">
        <v>101</v>
      </c>
      <c r="J236" s="6" t="s">
        <v>38</v>
      </c>
      <c r="K236" s="6" t="s">
        <v>39</v>
      </c>
      <c r="L236" s="6" t="s">
        <v>40</v>
      </c>
      <c r="M236" s="6" t="s">
        <v>41</v>
      </c>
      <c r="N236" s="6" t="s">
        <v>62</v>
      </c>
      <c r="O236" s="6" t="s">
        <v>43</v>
      </c>
      <c r="P236" s="8" t="s">
        <v>820</v>
      </c>
      <c r="Q236" s="1" t="s">
        <v>33</v>
      </c>
    </row>
    <row r="237" spans="2:17" ht="33.75" x14ac:dyDescent="0.2">
      <c r="B237" s="6" t="s">
        <v>821</v>
      </c>
      <c r="C237" s="6" t="s">
        <v>822</v>
      </c>
      <c r="D237" s="6" t="s">
        <v>36</v>
      </c>
      <c r="E237" s="6" t="s">
        <v>37</v>
      </c>
      <c r="F237" s="6" t="s">
        <v>405</v>
      </c>
      <c r="G237" s="7" t="str">
        <f>HYPERLINK("https://www.google.com.au/maps/place/23° 22.92' S+150° 28.518' E","23° 22.92' S")</f>
        <v>23° 22.92' S</v>
      </c>
      <c r="H237" s="7" t="str">
        <f>HYPERLINK("https://www.google.com.au/maps/place/23° 22.92' S+150° 28.518' E","150° 28.518' E")</f>
        <v>150° 28.518' E</v>
      </c>
      <c r="I237" s="6" t="s">
        <v>101</v>
      </c>
      <c r="J237" s="6" t="s">
        <v>38</v>
      </c>
      <c r="K237" s="6" t="s">
        <v>39</v>
      </c>
      <c r="L237" s="6" t="s">
        <v>40</v>
      </c>
      <c r="M237" s="6" t="s">
        <v>41</v>
      </c>
      <c r="N237" s="6" t="s">
        <v>62</v>
      </c>
      <c r="O237" s="6" t="s">
        <v>71</v>
      </c>
      <c r="P237" s="8" t="s">
        <v>823</v>
      </c>
      <c r="Q237" s="1" t="s">
        <v>33</v>
      </c>
    </row>
    <row r="238" spans="2:17" ht="33.75" x14ac:dyDescent="0.2">
      <c r="B238" s="6" t="s">
        <v>824</v>
      </c>
      <c r="C238" s="6" t="s">
        <v>825</v>
      </c>
      <c r="D238" s="6" t="s">
        <v>36</v>
      </c>
      <c r="E238" s="6" t="s">
        <v>37</v>
      </c>
      <c r="F238" s="6" t="s">
        <v>582</v>
      </c>
      <c r="G238" s="7" t="str">
        <f>HYPERLINK("https://www.google.com.au/maps/place/23° 52.182' S+151° 13.368' E","23° 52.182' S")</f>
        <v>23° 52.182' S</v>
      </c>
      <c r="H238" s="7" t="str">
        <f>HYPERLINK("https://www.google.com.au/maps/place/23° 52.182' S+151° 13.368' E","151° 13.368' E")</f>
        <v>151° 13.368' E</v>
      </c>
      <c r="I238" s="6" t="s">
        <v>101</v>
      </c>
      <c r="J238" s="6" t="s">
        <v>38</v>
      </c>
      <c r="K238" s="6" t="s">
        <v>39</v>
      </c>
      <c r="L238" s="6" t="s">
        <v>40</v>
      </c>
      <c r="M238" s="6" t="s">
        <v>41</v>
      </c>
      <c r="N238" s="6" t="s">
        <v>102</v>
      </c>
      <c r="O238" s="6" t="s">
        <v>103</v>
      </c>
      <c r="P238" s="8" t="s">
        <v>727</v>
      </c>
      <c r="Q238" s="1" t="s">
        <v>33</v>
      </c>
    </row>
    <row r="239" spans="2:17" ht="33.75" x14ac:dyDescent="0.2">
      <c r="B239" s="6" t="s">
        <v>826</v>
      </c>
      <c r="C239" s="6" t="s">
        <v>827</v>
      </c>
      <c r="D239" s="6" t="s">
        <v>36</v>
      </c>
      <c r="E239" s="6" t="s">
        <v>37</v>
      </c>
      <c r="F239" s="6" t="s">
        <v>187</v>
      </c>
      <c r="G239" s="7" t="str">
        <f>HYPERLINK("https://www.google.com.au/maps/place/31° 26.148' S+152° 51.798' E","31° 26.148' S")</f>
        <v>31° 26.148' S</v>
      </c>
      <c r="H239" s="7" t="str">
        <f>HYPERLINK("https://www.google.com.au/maps/place/31° 26.148' S+152° 51.798' E","152° 51.798' E")</f>
        <v>152° 51.798' E</v>
      </c>
      <c r="I239" s="6" t="s">
        <v>25</v>
      </c>
      <c r="J239" s="6" t="s">
        <v>38</v>
      </c>
      <c r="K239" s="6" t="s">
        <v>39</v>
      </c>
      <c r="L239" s="6" t="s">
        <v>40</v>
      </c>
      <c r="M239" s="6" t="s">
        <v>41</v>
      </c>
      <c r="N239" s="6" t="s">
        <v>102</v>
      </c>
      <c r="O239" s="6" t="s">
        <v>103</v>
      </c>
      <c r="P239" s="8" t="s">
        <v>828</v>
      </c>
      <c r="Q239" s="1" t="s">
        <v>33</v>
      </c>
    </row>
    <row r="240" spans="2:17" ht="33.75" x14ac:dyDescent="0.2">
      <c r="B240" s="6" t="s">
        <v>829</v>
      </c>
      <c r="C240" s="6" t="s">
        <v>830</v>
      </c>
      <c r="D240" s="6" t="s">
        <v>36</v>
      </c>
      <c r="E240" s="6" t="s">
        <v>37</v>
      </c>
      <c r="F240" s="6" t="s">
        <v>69</v>
      </c>
      <c r="G240" s="7" t="str">
        <f>HYPERLINK("https://www.google.com.au/maps/place/31° 5.028' S+150° 50.802' E","31° 5.028' S")</f>
        <v>31° 5.028' S</v>
      </c>
      <c r="H240" s="7" t="str">
        <f>HYPERLINK("https://www.google.com.au/maps/place/31° 5.028' S+150° 50.802' E","150° 50.802' E")</f>
        <v>150° 50.802' E</v>
      </c>
      <c r="I240" s="6" t="s">
        <v>25</v>
      </c>
      <c r="J240" s="6" t="s">
        <v>38</v>
      </c>
      <c r="K240" s="6" t="s">
        <v>39</v>
      </c>
      <c r="L240" s="6" t="s">
        <v>40</v>
      </c>
      <c r="M240" s="6" t="s">
        <v>41</v>
      </c>
      <c r="N240" s="6" t="s">
        <v>62</v>
      </c>
      <c r="O240" s="6" t="s">
        <v>71</v>
      </c>
      <c r="P240" s="8" t="s">
        <v>831</v>
      </c>
      <c r="Q240" s="1" t="s">
        <v>33</v>
      </c>
    </row>
    <row r="241" spans="2:17" ht="33.75" x14ac:dyDescent="0.2">
      <c r="B241" s="6" t="s">
        <v>832</v>
      </c>
      <c r="C241" s="6" t="s">
        <v>833</v>
      </c>
      <c r="D241" s="6" t="s">
        <v>36</v>
      </c>
      <c r="E241" s="6" t="s">
        <v>37</v>
      </c>
      <c r="F241" s="6" t="s">
        <v>24</v>
      </c>
      <c r="G241" s="7" t="str">
        <f>HYPERLINK("https://www.google.com.au/maps/place/33° 56.772' S+151° 10.632' E","33° 56.772' S")</f>
        <v>33° 56.772' S</v>
      </c>
      <c r="H241" s="7" t="str">
        <f>HYPERLINK("https://www.google.com.au/maps/place/33° 56.772' S+151° 10.632' E","151° 10.632' E")</f>
        <v>151° 10.632' E</v>
      </c>
      <c r="I241" s="6" t="s">
        <v>25</v>
      </c>
      <c r="J241" s="6" t="s">
        <v>38</v>
      </c>
      <c r="K241" s="6" t="s">
        <v>39</v>
      </c>
      <c r="L241" s="6" t="s">
        <v>40</v>
      </c>
      <c r="M241" s="6" t="s">
        <v>41</v>
      </c>
      <c r="N241" s="6" t="s">
        <v>62</v>
      </c>
      <c r="O241" s="6" t="s">
        <v>43</v>
      </c>
      <c r="P241" s="8" t="s">
        <v>834</v>
      </c>
      <c r="Q241" s="1" t="s">
        <v>33</v>
      </c>
    </row>
    <row r="242" spans="2:17" ht="33.75" x14ac:dyDescent="0.2">
      <c r="B242" s="6" t="s">
        <v>832</v>
      </c>
      <c r="C242" s="6" t="s">
        <v>835</v>
      </c>
      <c r="D242" s="6" t="s">
        <v>36</v>
      </c>
      <c r="E242" s="6" t="s">
        <v>37</v>
      </c>
      <c r="F242" s="6" t="s">
        <v>346</v>
      </c>
      <c r="G242" s="7" t="str">
        <f>HYPERLINK("https://www.google.com.au/maps/place/27° 23.052' S+153° 7.05' E","27° 23.052' S")</f>
        <v>27° 23.052' S</v>
      </c>
      <c r="H242" s="7" t="str">
        <f>HYPERLINK("https://www.google.com.au/maps/place/27° 23.052' S+153° 7.05' E","153° 7.05' E")</f>
        <v>153° 7.05' E</v>
      </c>
      <c r="I242" s="6" t="s">
        <v>101</v>
      </c>
      <c r="J242" s="6" t="s">
        <v>38</v>
      </c>
      <c r="K242" s="6" t="s">
        <v>39</v>
      </c>
      <c r="L242" s="6" t="s">
        <v>40</v>
      </c>
      <c r="M242" s="6" t="s">
        <v>41</v>
      </c>
      <c r="N242" s="6" t="s">
        <v>42</v>
      </c>
      <c r="O242" s="6" t="s">
        <v>43</v>
      </c>
      <c r="P242" s="8" t="s">
        <v>836</v>
      </c>
      <c r="Q242" s="1" t="s">
        <v>33</v>
      </c>
    </row>
    <row r="243" spans="2:17" ht="33.75" x14ac:dyDescent="0.2">
      <c r="B243" s="6" t="s">
        <v>832</v>
      </c>
      <c r="C243" s="6" t="s">
        <v>837</v>
      </c>
      <c r="D243" s="6" t="s">
        <v>36</v>
      </c>
      <c r="E243" s="6" t="s">
        <v>37</v>
      </c>
      <c r="F243" s="6" t="s">
        <v>346</v>
      </c>
      <c r="G243" s="7" t="str">
        <f>HYPERLINK("https://www.google.com.au/maps/place/27° 23.052' S+153° 7.05' E","27° 23.052' S")</f>
        <v>27° 23.052' S</v>
      </c>
      <c r="H243" s="7" t="str">
        <f>HYPERLINK("https://www.google.com.au/maps/place/27° 23.052' S+153° 7.05' E","153° 7.05' E")</f>
        <v>153° 7.05' E</v>
      </c>
      <c r="I243" s="6" t="s">
        <v>101</v>
      </c>
      <c r="J243" s="6" t="s">
        <v>38</v>
      </c>
      <c r="K243" s="6" t="s">
        <v>39</v>
      </c>
      <c r="L243" s="6" t="s">
        <v>40</v>
      </c>
      <c r="M243" s="6" t="s">
        <v>41</v>
      </c>
      <c r="N243" s="6" t="s">
        <v>62</v>
      </c>
      <c r="O243" s="6" t="s">
        <v>43</v>
      </c>
      <c r="P243" s="8" t="s">
        <v>838</v>
      </c>
      <c r="Q243" s="1" t="s">
        <v>33</v>
      </c>
    </row>
    <row r="244" spans="2:17" ht="33.75" x14ac:dyDescent="0.2">
      <c r="B244" s="6" t="s">
        <v>839</v>
      </c>
      <c r="C244" s="6" t="s">
        <v>840</v>
      </c>
      <c r="D244" s="6" t="s">
        <v>36</v>
      </c>
      <c r="E244" s="6" t="s">
        <v>37</v>
      </c>
      <c r="F244" s="6" t="s">
        <v>555</v>
      </c>
      <c r="G244" s="7" t="str">
        <f>HYPERLINK("https://www.google.com.au/maps/place/27° 23.052' S+153° 7.05' E","27° 23.052' S")</f>
        <v>27° 23.052' S</v>
      </c>
      <c r="H244" s="7" t="str">
        <f>HYPERLINK("https://www.google.com.au/maps/place/27° 23.052' S+153° 7.05' E","153° 7.05' E")</f>
        <v>153° 7.05' E</v>
      </c>
      <c r="I244" s="6" t="s">
        <v>101</v>
      </c>
      <c r="J244" s="6" t="s">
        <v>38</v>
      </c>
      <c r="K244" s="6" t="s">
        <v>39</v>
      </c>
      <c r="L244" s="6" t="s">
        <v>40</v>
      </c>
      <c r="M244" s="6" t="s">
        <v>41</v>
      </c>
      <c r="N244" s="6" t="s">
        <v>42</v>
      </c>
      <c r="O244" s="6" t="s">
        <v>43</v>
      </c>
      <c r="P244" s="8" t="s">
        <v>841</v>
      </c>
      <c r="Q244" s="1" t="s">
        <v>33</v>
      </c>
    </row>
    <row r="245" spans="2:17" ht="45" x14ac:dyDescent="0.2">
      <c r="B245" s="6" t="s">
        <v>842</v>
      </c>
      <c r="C245" s="6" t="s">
        <v>843</v>
      </c>
      <c r="D245" s="6" t="s">
        <v>36</v>
      </c>
      <c r="E245" s="6" t="s">
        <v>37</v>
      </c>
      <c r="F245" s="6" t="s">
        <v>24</v>
      </c>
      <c r="G245" s="7" t="str">
        <f>HYPERLINK("https://www.google.com.au/maps/place/33° 56.772' S+151° 10.632' E","33° 56.772' S")</f>
        <v>33° 56.772' S</v>
      </c>
      <c r="H245" s="7" t="str">
        <f>HYPERLINK("https://www.google.com.au/maps/place/33° 56.772' S+151° 10.632' E","151° 10.632' E")</f>
        <v>151° 10.632' E</v>
      </c>
      <c r="I245" s="6" t="s">
        <v>25</v>
      </c>
      <c r="J245" s="6" t="s">
        <v>38</v>
      </c>
      <c r="K245" s="6" t="s">
        <v>39</v>
      </c>
      <c r="L245" s="6" t="s">
        <v>40</v>
      </c>
      <c r="M245" s="6" t="s">
        <v>41</v>
      </c>
      <c r="N245" s="6" t="s">
        <v>62</v>
      </c>
      <c r="O245" s="6" t="s">
        <v>43</v>
      </c>
      <c r="P245" s="8" t="s">
        <v>844</v>
      </c>
      <c r="Q245" s="1" t="s">
        <v>33</v>
      </c>
    </row>
    <row r="246" spans="2:17" ht="33.75" x14ac:dyDescent="0.2">
      <c r="B246" s="6" t="s">
        <v>845</v>
      </c>
      <c r="C246" s="6" t="s">
        <v>846</v>
      </c>
      <c r="D246" s="6" t="s">
        <v>36</v>
      </c>
      <c r="E246" s="6" t="s">
        <v>37</v>
      </c>
      <c r="F246" s="6" t="s">
        <v>346</v>
      </c>
      <c r="G246" s="7" t="str">
        <f>HYPERLINK("https://www.google.com.au/maps/place/27° 23.052' S+153° 7.05' E","27° 23.052' S")</f>
        <v>27° 23.052' S</v>
      </c>
      <c r="H246" s="7" t="str">
        <f>HYPERLINK("https://www.google.com.au/maps/place/27° 23.052' S+153° 7.05' E","153° 7.05' E")</f>
        <v>153° 7.05' E</v>
      </c>
      <c r="I246" s="6" t="s">
        <v>101</v>
      </c>
      <c r="J246" s="6" t="s">
        <v>38</v>
      </c>
      <c r="K246" s="6" t="s">
        <v>39</v>
      </c>
      <c r="L246" s="6" t="s">
        <v>40</v>
      </c>
      <c r="M246" s="6" t="s">
        <v>41</v>
      </c>
      <c r="N246" s="6" t="s">
        <v>42</v>
      </c>
      <c r="O246" s="6" t="s">
        <v>302</v>
      </c>
      <c r="P246" s="8" t="s">
        <v>847</v>
      </c>
      <c r="Q246" s="1" t="s">
        <v>33</v>
      </c>
    </row>
    <row r="247" spans="2:17" ht="33.75" x14ac:dyDescent="0.2">
      <c r="B247" s="6" t="s">
        <v>848</v>
      </c>
      <c r="C247" s="6" t="s">
        <v>849</v>
      </c>
      <c r="D247" s="6" t="s">
        <v>36</v>
      </c>
      <c r="E247" s="6" t="s">
        <v>37</v>
      </c>
      <c r="F247" s="6" t="s">
        <v>405</v>
      </c>
      <c r="G247" s="7" t="str">
        <f>HYPERLINK("https://www.google.com.au/maps/place/23° 22.92' S+150° 28.518' E","23° 22.92' S")</f>
        <v>23° 22.92' S</v>
      </c>
      <c r="H247" s="7" t="str">
        <f>HYPERLINK("https://www.google.com.au/maps/place/23° 22.92' S+150° 28.518' E","150° 28.518' E")</f>
        <v>150° 28.518' E</v>
      </c>
      <c r="I247" s="6" t="s">
        <v>101</v>
      </c>
      <c r="J247" s="6" t="s">
        <v>38</v>
      </c>
      <c r="K247" s="6" t="s">
        <v>39</v>
      </c>
      <c r="L247" s="6" t="s">
        <v>40</v>
      </c>
      <c r="M247" s="6" t="s">
        <v>41</v>
      </c>
      <c r="N247" s="6" t="s">
        <v>42</v>
      </c>
      <c r="O247" s="6" t="s">
        <v>71</v>
      </c>
      <c r="P247" s="8" t="s">
        <v>850</v>
      </c>
      <c r="Q247" s="1" t="s">
        <v>33</v>
      </c>
    </row>
    <row r="248" spans="2:17" ht="33.75" x14ac:dyDescent="0.2">
      <c r="B248" s="6" t="s">
        <v>851</v>
      </c>
      <c r="C248" s="6" t="s">
        <v>852</v>
      </c>
      <c r="D248" s="6" t="s">
        <v>36</v>
      </c>
      <c r="E248" s="6" t="s">
        <v>37</v>
      </c>
      <c r="F248" s="6" t="s">
        <v>555</v>
      </c>
      <c r="G248" s="7" t="str">
        <f>HYPERLINK("https://www.google.com.au/maps/place/27° 23.052' S+153° 7.05' E","27° 23.052' S")</f>
        <v>27° 23.052' S</v>
      </c>
      <c r="H248" s="7" t="str">
        <f>HYPERLINK("https://www.google.com.au/maps/place/27° 23.052' S+153° 7.05' E","153° 7.05' E")</f>
        <v>153° 7.05' E</v>
      </c>
      <c r="I248" s="6" t="s">
        <v>101</v>
      </c>
      <c r="J248" s="6" t="s">
        <v>38</v>
      </c>
      <c r="K248" s="6" t="s">
        <v>39</v>
      </c>
      <c r="L248" s="6" t="s">
        <v>40</v>
      </c>
      <c r="M248" s="6" t="s">
        <v>41</v>
      </c>
      <c r="N248" s="6" t="s">
        <v>237</v>
      </c>
      <c r="O248" s="6" t="s">
        <v>237</v>
      </c>
      <c r="P248" s="8" t="s">
        <v>853</v>
      </c>
      <c r="Q248" s="1" t="s">
        <v>33</v>
      </c>
    </row>
    <row r="249" spans="2:17" ht="33.75" x14ac:dyDescent="0.2">
      <c r="B249" s="6" t="s">
        <v>854</v>
      </c>
      <c r="C249" s="6" t="s">
        <v>855</v>
      </c>
      <c r="D249" s="6" t="s">
        <v>36</v>
      </c>
      <c r="E249" s="6" t="s">
        <v>37</v>
      </c>
      <c r="F249" s="6" t="s">
        <v>405</v>
      </c>
      <c r="G249" s="7" t="str">
        <f>HYPERLINK("https://www.google.com.au/maps/place/23° 22.92' S+150° 28.518' E","23° 22.92' S")</f>
        <v>23° 22.92' S</v>
      </c>
      <c r="H249" s="7" t="str">
        <f>HYPERLINK("https://www.google.com.au/maps/place/23° 22.92' S+150° 28.518' E","150° 28.518' E")</f>
        <v>150° 28.518' E</v>
      </c>
      <c r="I249" s="6" t="s">
        <v>101</v>
      </c>
      <c r="J249" s="6" t="s">
        <v>38</v>
      </c>
      <c r="K249" s="6" t="s">
        <v>39</v>
      </c>
      <c r="L249" s="6" t="s">
        <v>40</v>
      </c>
      <c r="M249" s="6" t="s">
        <v>41</v>
      </c>
      <c r="N249" s="6" t="s">
        <v>62</v>
      </c>
      <c r="O249" s="6" t="s">
        <v>71</v>
      </c>
      <c r="P249" s="8" t="s">
        <v>291</v>
      </c>
      <c r="Q249" s="1" t="s">
        <v>33</v>
      </c>
    </row>
    <row r="250" spans="2:17" ht="33.75" x14ac:dyDescent="0.2">
      <c r="B250" s="6" t="s">
        <v>856</v>
      </c>
      <c r="C250" s="6" t="s">
        <v>857</v>
      </c>
      <c r="D250" s="6" t="s">
        <v>36</v>
      </c>
      <c r="E250" s="6" t="s">
        <v>37</v>
      </c>
      <c r="F250" s="6" t="s">
        <v>555</v>
      </c>
      <c r="G250" s="7" t="str">
        <f>HYPERLINK("https://www.google.com.au/maps/place/27° 23.052' S+153° 7.05' E","27° 23.052' S")</f>
        <v>27° 23.052' S</v>
      </c>
      <c r="H250" s="7" t="str">
        <f>HYPERLINK("https://www.google.com.au/maps/place/27° 23.052' S+153° 7.05' E","153° 7.05' E")</f>
        <v>153° 7.05' E</v>
      </c>
      <c r="I250" s="6" t="s">
        <v>101</v>
      </c>
      <c r="J250" s="6" t="s">
        <v>38</v>
      </c>
      <c r="K250" s="6" t="s">
        <v>39</v>
      </c>
      <c r="L250" s="6" t="s">
        <v>40</v>
      </c>
      <c r="M250" s="6" t="s">
        <v>41</v>
      </c>
      <c r="N250" s="6" t="s">
        <v>42</v>
      </c>
      <c r="O250" s="6" t="s">
        <v>302</v>
      </c>
      <c r="P250" s="8" t="s">
        <v>858</v>
      </c>
      <c r="Q250" s="1" t="s">
        <v>33</v>
      </c>
    </row>
    <row r="251" spans="2:17" ht="33.75" x14ac:dyDescent="0.2">
      <c r="B251" s="6" t="s">
        <v>856</v>
      </c>
      <c r="C251" s="6" t="s">
        <v>859</v>
      </c>
      <c r="D251" s="6" t="s">
        <v>36</v>
      </c>
      <c r="E251" s="6" t="s">
        <v>37</v>
      </c>
      <c r="F251" s="6" t="s">
        <v>90</v>
      </c>
      <c r="G251" s="7" t="str">
        <f>HYPERLINK("https://www.google.com.au/maps/place/36° 4.068' S+146° 57.48' E","36° 4.068' S")</f>
        <v>36° 4.068' S</v>
      </c>
      <c r="H251" s="7" t="str">
        <f>HYPERLINK("https://www.google.com.au/maps/place/36° 4.068' S+146° 57.48' E","146° 57.48' E")</f>
        <v>146° 57.48' E</v>
      </c>
      <c r="I251" s="6" t="s">
        <v>25</v>
      </c>
      <c r="J251" s="6" t="s">
        <v>38</v>
      </c>
      <c r="K251" s="6" t="s">
        <v>39</v>
      </c>
      <c r="L251" s="6" t="s">
        <v>40</v>
      </c>
      <c r="M251" s="6" t="s">
        <v>41</v>
      </c>
      <c r="N251" s="6" t="s">
        <v>62</v>
      </c>
      <c r="O251" s="6" t="s">
        <v>43</v>
      </c>
      <c r="P251" s="8" t="s">
        <v>104</v>
      </c>
      <c r="Q251" s="1" t="s">
        <v>33</v>
      </c>
    </row>
    <row r="252" spans="2:17" ht="33.75" x14ac:dyDescent="0.2">
      <c r="B252" s="6" t="s">
        <v>860</v>
      </c>
      <c r="C252" s="6" t="s">
        <v>861</v>
      </c>
      <c r="D252" s="6" t="s">
        <v>36</v>
      </c>
      <c r="E252" s="6" t="s">
        <v>37</v>
      </c>
      <c r="F252" s="6" t="s">
        <v>635</v>
      </c>
      <c r="G252" s="7" t="str">
        <f>HYPERLINK("https://www.google.com.au/maps/place/23° 34.05' S+148° 10.752' E","23° 34.05' S")</f>
        <v>23° 34.05' S</v>
      </c>
      <c r="H252" s="7" t="str">
        <f>HYPERLINK("https://www.google.com.au/maps/place/23° 34.05' S+148° 10.752' E","148° 10.752' E")</f>
        <v>148° 10.752' E</v>
      </c>
      <c r="I252" s="6" t="s">
        <v>101</v>
      </c>
      <c r="J252" s="6" t="s">
        <v>38</v>
      </c>
      <c r="K252" s="6" t="s">
        <v>39</v>
      </c>
      <c r="L252" s="6" t="s">
        <v>40</v>
      </c>
      <c r="M252" s="6" t="s">
        <v>41</v>
      </c>
      <c r="N252" s="6" t="s">
        <v>102</v>
      </c>
      <c r="O252" s="6" t="s">
        <v>103</v>
      </c>
      <c r="P252" s="8" t="s">
        <v>104</v>
      </c>
      <c r="Q252" s="1" t="s">
        <v>33</v>
      </c>
    </row>
    <row r="253" spans="2:17" ht="33.75" x14ac:dyDescent="0.2">
      <c r="B253" s="6" t="s">
        <v>862</v>
      </c>
      <c r="C253" s="6" t="s">
        <v>863</v>
      </c>
      <c r="D253" s="6" t="s">
        <v>36</v>
      </c>
      <c r="E253" s="6" t="s">
        <v>37</v>
      </c>
      <c r="F253" s="6" t="s">
        <v>582</v>
      </c>
      <c r="G253" s="7" t="str">
        <f>HYPERLINK("https://www.google.com.au/maps/place/23° 52.182' S+151° 13.368' E","23° 52.182' S")</f>
        <v>23° 52.182' S</v>
      </c>
      <c r="H253" s="7" t="str">
        <f>HYPERLINK("https://www.google.com.au/maps/place/23° 52.182' S+151° 13.368' E","151° 13.368' E")</f>
        <v>151° 13.368' E</v>
      </c>
      <c r="I253" s="6" t="s">
        <v>101</v>
      </c>
      <c r="J253" s="6" t="s">
        <v>38</v>
      </c>
      <c r="K253" s="6" t="s">
        <v>39</v>
      </c>
      <c r="L253" s="6" t="s">
        <v>40</v>
      </c>
      <c r="M253" s="6" t="s">
        <v>41</v>
      </c>
      <c r="N253" s="6" t="s">
        <v>102</v>
      </c>
      <c r="O253" s="6" t="s">
        <v>103</v>
      </c>
      <c r="P253" s="8" t="s">
        <v>864</v>
      </c>
      <c r="Q253" s="1" t="s">
        <v>33</v>
      </c>
    </row>
    <row r="254" spans="2:17" ht="33.75" x14ac:dyDescent="0.2">
      <c r="B254" s="6" t="s">
        <v>865</v>
      </c>
      <c r="C254" s="6" t="s">
        <v>866</v>
      </c>
      <c r="D254" s="6" t="s">
        <v>36</v>
      </c>
      <c r="E254" s="6" t="s">
        <v>37</v>
      </c>
      <c r="F254" s="6" t="s">
        <v>24</v>
      </c>
      <c r="G254" s="7" t="str">
        <f>HYPERLINK("https://www.google.com.au/maps/place/33° 56.772' S+151° 10.632' E","33° 56.772' S")</f>
        <v>33° 56.772' S</v>
      </c>
      <c r="H254" s="7" t="str">
        <f>HYPERLINK("https://www.google.com.au/maps/place/33° 56.772' S+151° 10.632' E","151° 10.632' E")</f>
        <v>151° 10.632' E</v>
      </c>
      <c r="I254" s="6" t="s">
        <v>25</v>
      </c>
      <c r="J254" s="6" t="s">
        <v>38</v>
      </c>
      <c r="K254" s="6" t="s">
        <v>39</v>
      </c>
      <c r="L254" s="6" t="s">
        <v>40</v>
      </c>
      <c r="M254" s="6" t="s">
        <v>41</v>
      </c>
      <c r="N254" s="6" t="s">
        <v>237</v>
      </c>
      <c r="O254" s="6" t="s">
        <v>237</v>
      </c>
      <c r="P254" s="8" t="s">
        <v>867</v>
      </c>
      <c r="Q254" s="1" t="s">
        <v>33</v>
      </c>
    </row>
    <row r="255" spans="2:17" ht="33.75" x14ac:dyDescent="0.2">
      <c r="B255" s="6" t="s">
        <v>868</v>
      </c>
      <c r="C255" s="6" t="s">
        <v>869</v>
      </c>
      <c r="D255" s="6" t="s">
        <v>36</v>
      </c>
      <c r="E255" s="6" t="s">
        <v>37</v>
      </c>
      <c r="F255" s="6" t="s">
        <v>60</v>
      </c>
      <c r="G255" s="7" t="str">
        <f>HYPERLINK("https://www.google.com.au/maps/place/35° 18.42' S+149° 11.7' E","35° 18.42' S")</f>
        <v>35° 18.42' S</v>
      </c>
      <c r="H255" s="7" t="str">
        <f>HYPERLINK("https://www.google.com.au/maps/place/35° 18.42' S+149° 11.7' E","149° 11.7' E")</f>
        <v>149° 11.7' E</v>
      </c>
      <c r="I255" s="6" t="s">
        <v>61</v>
      </c>
      <c r="J255" s="6" t="s">
        <v>38</v>
      </c>
      <c r="K255" s="6" t="s">
        <v>39</v>
      </c>
      <c r="L255" s="6" t="s">
        <v>40</v>
      </c>
      <c r="M255" s="6" t="s">
        <v>41</v>
      </c>
      <c r="N255" s="6" t="s">
        <v>62</v>
      </c>
      <c r="O255" s="6" t="s">
        <v>43</v>
      </c>
      <c r="P255" s="8" t="s">
        <v>870</v>
      </c>
      <c r="Q255" s="1" t="s">
        <v>33</v>
      </c>
    </row>
    <row r="256" spans="2:17" ht="33.75" x14ac:dyDescent="0.2">
      <c r="B256" s="6" t="s">
        <v>871</v>
      </c>
      <c r="C256" s="6" t="s">
        <v>872</v>
      </c>
      <c r="D256" s="6" t="s">
        <v>36</v>
      </c>
      <c r="E256" s="6" t="s">
        <v>37</v>
      </c>
      <c r="F256" s="6" t="s">
        <v>187</v>
      </c>
      <c r="G256" s="7" t="str">
        <f>HYPERLINK("https://www.google.com.au/maps/place/31° 26.148' S+152° 51.798' E","31° 26.148' S")</f>
        <v>31° 26.148' S</v>
      </c>
      <c r="H256" s="7" t="str">
        <f>HYPERLINK("https://www.google.com.au/maps/place/31° 26.148' S+152° 51.798' E","152° 51.798' E")</f>
        <v>152° 51.798' E</v>
      </c>
      <c r="I256" s="6" t="s">
        <v>25</v>
      </c>
      <c r="J256" s="6" t="s">
        <v>38</v>
      </c>
      <c r="K256" s="6" t="s">
        <v>39</v>
      </c>
      <c r="L256" s="6" t="s">
        <v>40</v>
      </c>
      <c r="M256" s="6" t="s">
        <v>41</v>
      </c>
      <c r="N256" s="6" t="s">
        <v>62</v>
      </c>
      <c r="O256" s="6" t="s">
        <v>71</v>
      </c>
      <c r="P256" s="8" t="s">
        <v>873</v>
      </c>
      <c r="Q256" s="1" t="s">
        <v>33</v>
      </c>
    </row>
    <row r="257" spans="2:17" ht="33.75" x14ac:dyDescent="0.2">
      <c r="B257" s="6" t="s">
        <v>874</v>
      </c>
      <c r="C257" s="6" t="s">
        <v>875</v>
      </c>
      <c r="D257" s="6" t="s">
        <v>36</v>
      </c>
      <c r="E257" s="6" t="s">
        <v>37</v>
      </c>
      <c r="F257" s="6" t="s">
        <v>346</v>
      </c>
      <c r="G257" s="7" t="str">
        <f>HYPERLINK("https://www.google.com.au/maps/place/27° 23.052' S+153° 7.05' E","27° 23.052' S")</f>
        <v>27° 23.052' S</v>
      </c>
      <c r="H257" s="7" t="str">
        <f>HYPERLINK("https://www.google.com.au/maps/place/27° 23.052' S+153° 7.05' E","153° 7.05' E")</f>
        <v>153° 7.05' E</v>
      </c>
      <c r="I257" s="6" t="s">
        <v>101</v>
      </c>
      <c r="J257" s="6" t="s">
        <v>38</v>
      </c>
      <c r="K257" s="6" t="s">
        <v>39</v>
      </c>
      <c r="L257" s="6" t="s">
        <v>40</v>
      </c>
      <c r="M257" s="6" t="s">
        <v>41</v>
      </c>
      <c r="N257" s="6" t="s">
        <v>42</v>
      </c>
      <c r="O257" s="6" t="s">
        <v>43</v>
      </c>
      <c r="P257" s="8" t="s">
        <v>876</v>
      </c>
      <c r="Q257" s="1" t="s">
        <v>33</v>
      </c>
    </row>
    <row r="258" spans="2:17" ht="33.75" x14ac:dyDescent="0.2">
      <c r="B258" s="6" t="s">
        <v>877</v>
      </c>
      <c r="C258" s="6" t="s">
        <v>878</v>
      </c>
      <c r="D258" s="6" t="s">
        <v>36</v>
      </c>
      <c r="E258" s="6" t="s">
        <v>37</v>
      </c>
      <c r="F258" s="6" t="s">
        <v>514</v>
      </c>
      <c r="G258" s="7" t="str">
        <f>HYPERLINK("https://www.google.com.au/maps/place/23° 52.182' S+151° 13.368' E","23° 52.182' S")</f>
        <v>23° 52.182' S</v>
      </c>
      <c r="H258" s="7" t="str">
        <f>HYPERLINK("https://www.google.com.au/maps/place/23° 52.182' S+151° 13.368' E","151° 13.368' E")</f>
        <v>151° 13.368' E</v>
      </c>
      <c r="I258" s="6" t="s">
        <v>101</v>
      </c>
      <c r="J258" s="6" t="s">
        <v>38</v>
      </c>
      <c r="K258" s="6" t="s">
        <v>39</v>
      </c>
      <c r="L258" s="6" t="s">
        <v>40</v>
      </c>
      <c r="M258" s="6" t="s">
        <v>41</v>
      </c>
      <c r="N258" s="6" t="s">
        <v>102</v>
      </c>
      <c r="O258" s="6" t="s">
        <v>103</v>
      </c>
      <c r="P258" s="8" t="s">
        <v>879</v>
      </c>
      <c r="Q258" s="1" t="s">
        <v>33</v>
      </c>
    </row>
    <row r="259" spans="2:17" ht="33.75" x14ac:dyDescent="0.2">
      <c r="B259" s="6" t="s">
        <v>880</v>
      </c>
      <c r="C259" s="6" t="s">
        <v>881</v>
      </c>
      <c r="D259" s="6" t="s">
        <v>36</v>
      </c>
      <c r="E259" s="6" t="s">
        <v>37</v>
      </c>
      <c r="F259" s="6" t="s">
        <v>882</v>
      </c>
      <c r="G259" s="7" t="str">
        <f>HYPERLINK("https://www.google.com.au/maps/place/24° 54.228' S+152° 19.122' E","24° 54.228' S")</f>
        <v>24° 54.228' S</v>
      </c>
      <c r="H259" s="7" t="str">
        <f>HYPERLINK("https://www.google.com.au/maps/place/24° 54.228' S+152° 19.122' E","152° 19.122' E")</f>
        <v>152° 19.122' E</v>
      </c>
      <c r="I259" s="6" t="s">
        <v>101</v>
      </c>
      <c r="J259" s="6" t="s">
        <v>38</v>
      </c>
      <c r="K259" s="6" t="s">
        <v>39</v>
      </c>
      <c r="L259" s="6" t="s">
        <v>40</v>
      </c>
      <c r="M259" s="6" t="s">
        <v>41</v>
      </c>
      <c r="N259" s="6" t="s">
        <v>364</v>
      </c>
      <c r="O259" s="6" t="s">
        <v>103</v>
      </c>
      <c r="P259" s="8" t="s">
        <v>883</v>
      </c>
      <c r="Q259" s="1" t="s">
        <v>33</v>
      </c>
    </row>
    <row r="260" spans="2:17" ht="33.75" x14ac:dyDescent="0.2">
      <c r="B260" s="6" t="s">
        <v>884</v>
      </c>
      <c r="C260" s="6" t="s">
        <v>885</v>
      </c>
      <c r="D260" s="6" t="s">
        <v>36</v>
      </c>
      <c r="E260" s="6" t="s">
        <v>37</v>
      </c>
      <c r="F260" s="6" t="s">
        <v>346</v>
      </c>
      <c r="G260" s="7" t="str">
        <f>HYPERLINK("https://www.google.com.au/maps/place/27° 23.052' S+153° 7.05' E","27° 23.052' S")</f>
        <v>27° 23.052' S</v>
      </c>
      <c r="H260" s="7" t="str">
        <f>HYPERLINK("https://www.google.com.au/maps/place/27° 23.052' S+153° 7.05' E","153° 7.05' E")</f>
        <v>153° 7.05' E</v>
      </c>
      <c r="I260" s="6" t="s">
        <v>101</v>
      </c>
      <c r="J260" s="6" t="s">
        <v>38</v>
      </c>
      <c r="K260" s="6" t="s">
        <v>39</v>
      </c>
      <c r="L260" s="6" t="s">
        <v>40</v>
      </c>
      <c r="M260" s="6" t="s">
        <v>41</v>
      </c>
      <c r="N260" s="6" t="s">
        <v>42</v>
      </c>
      <c r="O260" s="6" t="s">
        <v>43</v>
      </c>
      <c r="P260" s="8" t="s">
        <v>886</v>
      </c>
      <c r="Q260" s="1" t="s">
        <v>33</v>
      </c>
    </row>
    <row r="261" spans="2:17" ht="33.75" x14ac:dyDescent="0.2">
      <c r="B261" s="6" t="s">
        <v>887</v>
      </c>
      <c r="C261" s="6" t="s">
        <v>888</v>
      </c>
      <c r="D261" s="6" t="s">
        <v>36</v>
      </c>
      <c r="E261" s="6" t="s">
        <v>37</v>
      </c>
      <c r="F261" s="6" t="s">
        <v>187</v>
      </c>
      <c r="G261" s="7" t="str">
        <f>HYPERLINK("https://www.google.com.au/maps/place/31° 26.148' S+152° 51.798' E","31° 26.148' S")</f>
        <v>31° 26.148' S</v>
      </c>
      <c r="H261" s="7" t="str">
        <f>HYPERLINK("https://www.google.com.au/maps/place/31° 26.148' S+152° 51.798' E","152° 51.798' E")</f>
        <v>152° 51.798' E</v>
      </c>
      <c r="I261" s="6" t="s">
        <v>25</v>
      </c>
      <c r="J261" s="6" t="s">
        <v>38</v>
      </c>
      <c r="K261" s="6" t="s">
        <v>39</v>
      </c>
      <c r="L261" s="6" t="s">
        <v>40</v>
      </c>
      <c r="M261" s="6" t="s">
        <v>41</v>
      </c>
      <c r="N261" s="6" t="s">
        <v>102</v>
      </c>
      <c r="O261" s="6" t="s">
        <v>103</v>
      </c>
      <c r="P261" s="8" t="s">
        <v>470</v>
      </c>
      <c r="Q261" s="1" t="s">
        <v>33</v>
      </c>
    </row>
    <row r="262" spans="2:17" ht="33.75" x14ac:dyDescent="0.2">
      <c r="B262" s="6" t="s">
        <v>889</v>
      </c>
      <c r="C262" s="6" t="s">
        <v>890</v>
      </c>
      <c r="D262" s="6" t="s">
        <v>36</v>
      </c>
      <c r="E262" s="6" t="s">
        <v>37</v>
      </c>
      <c r="F262" s="6" t="s">
        <v>891</v>
      </c>
      <c r="G262" s="7" t="str">
        <f>HYPERLINK("https://www.google.com.au/maps/place/19° 15.15' S+146° 45.918' E","19° 15.15' S")</f>
        <v>19° 15.15' S</v>
      </c>
      <c r="H262" s="7" t="str">
        <f>HYPERLINK("https://www.google.com.au/maps/place/19° 15.15' S+146° 45.918' E","146° 45.918' E")</f>
        <v>146° 45.918' E</v>
      </c>
      <c r="I262" s="6" t="s">
        <v>101</v>
      </c>
      <c r="J262" s="6" t="s">
        <v>38</v>
      </c>
      <c r="K262" s="6" t="s">
        <v>39</v>
      </c>
      <c r="L262" s="6" t="s">
        <v>40</v>
      </c>
      <c r="M262" s="6" t="s">
        <v>41</v>
      </c>
      <c r="N262" s="6" t="s">
        <v>62</v>
      </c>
      <c r="O262" s="6" t="s">
        <v>43</v>
      </c>
      <c r="P262" s="8" t="s">
        <v>892</v>
      </c>
      <c r="Q262" s="1" t="s">
        <v>33</v>
      </c>
    </row>
    <row r="263" spans="2:17" ht="33.75" x14ac:dyDescent="0.2">
      <c r="B263" s="6" t="s">
        <v>893</v>
      </c>
      <c r="C263" s="6" t="s">
        <v>894</v>
      </c>
      <c r="D263" s="6" t="s">
        <v>36</v>
      </c>
      <c r="E263" s="6" t="s">
        <v>37</v>
      </c>
      <c r="F263" s="6" t="s">
        <v>346</v>
      </c>
      <c r="G263" s="7" t="str">
        <f>HYPERLINK("https://www.google.com.au/maps/place/27° 23.052' S+153° 7.05' E","27° 23.052' S")</f>
        <v>27° 23.052' S</v>
      </c>
      <c r="H263" s="7" t="str">
        <f>HYPERLINK("https://www.google.com.au/maps/place/27° 23.052' S+153° 7.05' E","153° 7.05' E")</f>
        <v>153° 7.05' E</v>
      </c>
      <c r="I263" s="6" t="s">
        <v>101</v>
      </c>
      <c r="J263" s="6" t="s">
        <v>38</v>
      </c>
      <c r="K263" s="6" t="s">
        <v>39</v>
      </c>
      <c r="L263" s="6" t="s">
        <v>40</v>
      </c>
      <c r="M263" s="6" t="s">
        <v>41</v>
      </c>
      <c r="N263" s="6" t="s">
        <v>62</v>
      </c>
      <c r="O263" s="6" t="s">
        <v>43</v>
      </c>
      <c r="P263" s="8" t="s">
        <v>895</v>
      </c>
      <c r="Q263" s="1" t="s">
        <v>33</v>
      </c>
    </row>
    <row r="264" spans="2:17" ht="33.75" x14ac:dyDescent="0.2">
      <c r="B264" s="6" t="s">
        <v>896</v>
      </c>
      <c r="C264" s="6" t="s">
        <v>897</v>
      </c>
      <c r="D264" s="6" t="s">
        <v>36</v>
      </c>
      <c r="E264" s="6" t="s">
        <v>37</v>
      </c>
      <c r="F264" s="6" t="s">
        <v>582</v>
      </c>
      <c r="G264" s="7" t="str">
        <f>HYPERLINK("https://www.google.com.au/maps/place/23° 52.182' S+151° 13.368' E","23° 52.182' S")</f>
        <v>23° 52.182' S</v>
      </c>
      <c r="H264" s="7" t="str">
        <f>HYPERLINK("https://www.google.com.au/maps/place/23° 52.182' S+151° 13.368' E","151° 13.368' E")</f>
        <v>151° 13.368' E</v>
      </c>
      <c r="I264" s="6" t="s">
        <v>101</v>
      </c>
      <c r="J264" s="6" t="s">
        <v>38</v>
      </c>
      <c r="K264" s="6" t="s">
        <v>39</v>
      </c>
      <c r="L264" s="6" t="s">
        <v>40</v>
      </c>
      <c r="M264" s="6" t="s">
        <v>41</v>
      </c>
      <c r="N264" s="6" t="s">
        <v>102</v>
      </c>
      <c r="O264" s="6" t="s">
        <v>103</v>
      </c>
      <c r="P264" s="8" t="s">
        <v>291</v>
      </c>
      <c r="Q264" s="1" t="s">
        <v>33</v>
      </c>
    </row>
    <row r="265" spans="2:17" ht="33.75" x14ac:dyDescent="0.2">
      <c r="B265" s="6" t="s">
        <v>898</v>
      </c>
      <c r="C265" s="6" t="s">
        <v>899</v>
      </c>
      <c r="D265" s="6" t="s">
        <v>36</v>
      </c>
      <c r="E265" s="6" t="s">
        <v>37</v>
      </c>
      <c r="F265" s="6" t="s">
        <v>635</v>
      </c>
      <c r="G265" s="7" t="str">
        <f>HYPERLINK("https://www.google.com.au/maps/place/23° 34.05' S+148° 10.752' E","23° 34.05' S")</f>
        <v>23° 34.05' S</v>
      </c>
      <c r="H265" s="7" t="str">
        <f>HYPERLINK("https://www.google.com.au/maps/place/23° 34.05' S+148° 10.752' E","148° 10.752' E")</f>
        <v>148° 10.752' E</v>
      </c>
      <c r="I265" s="6" t="s">
        <v>101</v>
      </c>
      <c r="J265" s="6" t="s">
        <v>38</v>
      </c>
      <c r="K265" s="6" t="s">
        <v>39</v>
      </c>
      <c r="L265" s="6" t="s">
        <v>40</v>
      </c>
      <c r="M265" s="6" t="s">
        <v>41</v>
      </c>
      <c r="N265" s="6" t="s">
        <v>102</v>
      </c>
      <c r="O265" s="6" t="s">
        <v>103</v>
      </c>
      <c r="P265" s="8" t="s">
        <v>900</v>
      </c>
      <c r="Q265" s="1" t="s">
        <v>33</v>
      </c>
    </row>
    <row r="266" spans="2:17" ht="33.75" x14ac:dyDescent="0.2">
      <c r="B266" s="6" t="s">
        <v>901</v>
      </c>
      <c r="C266" s="6" t="s">
        <v>902</v>
      </c>
      <c r="D266" s="6" t="s">
        <v>36</v>
      </c>
      <c r="E266" s="6" t="s">
        <v>37</v>
      </c>
      <c r="F266" s="6" t="s">
        <v>60</v>
      </c>
      <c r="G266" s="7" t="str">
        <f>HYPERLINK("https://www.google.com.au/maps/place/35° 18.42' S+149° 11.7' E","35° 18.42' S")</f>
        <v>35° 18.42' S</v>
      </c>
      <c r="H266" s="7" t="str">
        <f>HYPERLINK("https://www.google.com.au/maps/place/35° 18.42' S+149° 11.7' E","149° 11.7' E")</f>
        <v>149° 11.7' E</v>
      </c>
      <c r="I266" s="6" t="s">
        <v>61</v>
      </c>
      <c r="J266" s="6" t="s">
        <v>38</v>
      </c>
      <c r="K266" s="6" t="s">
        <v>39</v>
      </c>
      <c r="L266" s="6" t="s">
        <v>40</v>
      </c>
      <c r="M266" s="6" t="s">
        <v>41</v>
      </c>
      <c r="N266" s="6" t="s">
        <v>62</v>
      </c>
      <c r="O266" s="6" t="s">
        <v>43</v>
      </c>
      <c r="P266" s="8" t="s">
        <v>903</v>
      </c>
      <c r="Q266" s="1" t="s">
        <v>33</v>
      </c>
    </row>
    <row r="267" spans="2:17" ht="33.75" x14ac:dyDescent="0.2">
      <c r="B267" s="6" t="s">
        <v>904</v>
      </c>
      <c r="C267" s="6" t="s">
        <v>905</v>
      </c>
      <c r="D267" s="6" t="s">
        <v>36</v>
      </c>
      <c r="E267" s="6" t="s">
        <v>37</v>
      </c>
      <c r="F267" s="6" t="s">
        <v>906</v>
      </c>
      <c r="G267" s="7" t="str">
        <f>HYPERLINK("https://www.google.com.au/maps/place/32° 25.182' S+152° 3.018' E","32° 25.182' S")</f>
        <v>32° 25.182' S</v>
      </c>
      <c r="H267" s="7" t="str">
        <f>HYPERLINK("https://www.google.com.au/maps/place/32° 25.182' S+152° 3.018' E","152° 3.018' E")</f>
        <v>152° 3.018' E</v>
      </c>
      <c r="I267" s="6" t="s">
        <v>25</v>
      </c>
      <c r="J267" s="6" t="s">
        <v>38</v>
      </c>
      <c r="K267" s="6" t="s">
        <v>39</v>
      </c>
      <c r="L267" s="6" t="s">
        <v>40</v>
      </c>
      <c r="M267" s="6" t="s">
        <v>41</v>
      </c>
      <c r="N267" s="6" t="s">
        <v>42</v>
      </c>
      <c r="O267" s="6" t="s">
        <v>43</v>
      </c>
      <c r="P267" s="8" t="s">
        <v>907</v>
      </c>
      <c r="Q267" s="1" t="s">
        <v>33</v>
      </c>
    </row>
    <row r="268" spans="2:17" ht="33.75" x14ac:dyDescent="0.2">
      <c r="B268" s="6" t="s">
        <v>904</v>
      </c>
      <c r="C268" s="6" t="s">
        <v>908</v>
      </c>
      <c r="D268" s="6" t="s">
        <v>36</v>
      </c>
      <c r="E268" s="6" t="s">
        <v>37</v>
      </c>
      <c r="F268" s="6" t="s">
        <v>346</v>
      </c>
      <c r="G268" s="7" t="str">
        <f>HYPERLINK("https://www.google.com.au/maps/place/27° 23.052' S+153° 7.05' E","27° 23.052' S")</f>
        <v>27° 23.052' S</v>
      </c>
      <c r="H268" s="7" t="str">
        <f>HYPERLINK("https://www.google.com.au/maps/place/27° 23.052' S+153° 7.05' E","153° 7.05' E")</f>
        <v>153° 7.05' E</v>
      </c>
      <c r="I268" s="6" t="s">
        <v>101</v>
      </c>
      <c r="J268" s="6" t="s">
        <v>38</v>
      </c>
      <c r="K268" s="6" t="s">
        <v>39</v>
      </c>
      <c r="L268" s="6" t="s">
        <v>40</v>
      </c>
      <c r="M268" s="6" t="s">
        <v>41</v>
      </c>
      <c r="N268" s="6" t="s">
        <v>62</v>
      </c>
      <c r="O268" s="6" t="s">
        <v>43</v>
      </c>
      <c r="P268" s="8" t="s">
        <v>909</v>
      </c>
      <c r="Q268" s="1" t="s">
        <v>33</v>
      </c>
    </row>
    <row r="269" spans="2:17" ht="33.75" x14ac:dyDescent="0.2">
      <c r="B269" s="6" t="s">
        <v>910</v>
      </c>
      <c r="C269" s="6" t="s">
        <v>911</v>
      </c>
      <c r="D269" s="6" t="s">
        <v>36</v>
      </c>
      <c r="E269" s="6" t="s">
        <v>37</v>
      </c>
      <c r="F269" s="6" t="s">
        <v>582</v>
      </c>
      <c r="G269" s="7" t="str">
        <f>HYPERLINK("https://www.google.com.au/maps/place/23° 52.182' S+151° 13.368' E","23° 52.182' S")</f>
        <v>23° 52.182' S</v>
      </c>
      <c r="H269" s="7" t="str">
        <f>HYPERLINK("https://www.google.com.au/maps/place/23° 52.182' S+151° 13.368' E","151° 13.368' E")</f>
        <v>151° 13.368' E</v>
      </c>
      <c r="I269" s="6" t="s">
        <v>101</v>
      </c>
      <c r="J269" s="6" t="s">
        <v>38</v>
      </c>
      <c r="K269" s="6" t="s">
        <v>39</v>
      </c>
      <c r="L269" s="6" t="s">
        <v>40</v>
      </c>
      <c r="M269" s="6" t="s">
        <v>41</v>
      </c>
      <c r="N269" s="6" t="s">
        <v>102</v>
      </c>
      <c r="O269" s="6" t="s">
        <v>103</v>
      </c>
      <c r="P269" s="8" t="s">
        <v>912</v>
      </c>
      <c r="Q269" s="1" t="s">
        <v>33</v>
      </c>
    </row>
    <row r="270" spans="2:17" ht="67.5" x14ac:dyDescent="0.2">
      <c r="B270" s="6" t="s">
        <v>913</v>
      </c>
      <c r="C270" s="6" t="s">
        <v>914</v>
      </c>
      <c r="D270" s="6" t="s">
        <v>36</v>
      </c>
      <c r="E270" s="6" t="s">
        <v>37</v>
      </c>
      <c r="F270" s="6" t="s">
        <v>346</v>
      </c>
      <c r="G270" s="7" t="str">
        <f>HYPERLINK("https://www.google.com.au/maps/place/27° 23.052' S+153° 7.05' E","27° 23.052' S")</f>
        <v>27° 23.052' S</v>
      </c>
      <c r="H270" s="7" t="str">
        <f>HYPERLINK("https://www.google.com.au/maps/place/27° 23.052' S+153° 7.05' E","153° 7.05' E")</f>
        <v>153° 7.05' E</v>
      </c>
      <c r="I270" s="6" t="s">
        <v>101</v>
      </c>
      <c r="J270" s="6" t="s">
        <v>26</v>
      </c>
      <c r="K270" s="6" t="s">
        <v>85</v>
      </c>
      <c r="L270" s="6" t="s">
        <v>28</v>
      </c>
      <c r="M270" s="6" t="s">
        <v>29</v>
      </c>
      <c r="N270" s="6" t="s">
        <v>128</v>
      </c>
      <c r="O270" s="6" t="s">
        <v>31</v>
      </c>
      <c r="P270" s="8" t="s">
        <v>915</v>
      </c>
      <c r="Q270" s="1" t="s">
        <v>33</v>
      </c>
    </row>
    <row r="271" spans="2:17" ht="33.75" x14ac:dyDescent="0.2">
      <c r="B271" s="6" t="s">
        <v>916</v>
      </c>
      <c r="C271" s="6" t="s">
        <v>917</v>
      </c>
      <c r="D271" s="6" t="s">
        <v>36</v>
      </c>
      <c r="E271" s="6" t="s">
        <v>37</v>
      </c>
      <c r="F271" s="6" t="s">
        <v>918</v>
      </c>
      <c r="G271" s="7" t="str">
        <f>HYPERLINK("https://www.google.com.au/maps/place/26° 17.478' S+150° 45.822' E","26° 17.478' S")</f>
        <v>26° 17.478' S</v>
      </c>
      <c r="H271" s="7" t="str">
        <f>HYPERLINK("https://www.google.com.au/maps/place/26° 17.478' S+150° 45.822' E","150° 45.822' E")</f>
        <v>150° 45.822' E</v>
      </c>
      <c r="I271" s="6" t="s">
        <v>101</v>
      </c>
      <c r="J271" s="6" t="s">
        <v>38</v>
      </c>
      <c r="K271" s="6" t="s">
        <v>39</v>
      </c>
      <c r="L271" s="6" t="s">
        <v>40</v>
      </c>
      <c r="M271" s="6" t="s">
        <v>41</v>
      </c>
      <c r="N271" s="6" t="s">
        <v>42</v>
      </c>
      <c r="O271" s="6" t="s">
        <v>43</v>
      </c>
      <c r="P271" s="8" t="s">
        <v>919</v>
      </c>
      <c r="Q271" s="1" t="s">
        <v>33</v>
      </c>
    </row>
    <row r="272" spans="2:17" ht="33.75" x14ac:dyDescent="0.2">
      <c r="B272" s="6" t="s">
        <v>920</v>
      </c>
      <c r="C272" s="6" t="s">
        <v>921</v>
      </c>
      <c r="D272" s="6" t="s">
        <v>36</v>
      </c>
      <c r="E272" s="6" t="s">
        <v>37</v>
      </c>
      <c r="F272" s="6" t="s">
        <v>922</v>
      </c>
      <c r="G272" s="7" t="str">
        <f>HYPERLINK("https://www.google.com.au/maps/place/25° 27.03' S+151° 29.682' E","25° 27.03' S")</f>
        <v>25° 27.03' S</v>
      </c>
      <c r="H272" s="7" t="str">
        <f>HYPERLINK("https://www.google.com.au/maps/place/25° 27.03' S+151° 29.682' E","151° 29.682' E")</f>
        <v>151° 29.682' E</v>
      </c>
      <c r="I272" s="6" t="s">
        <v>101</v>
      </c>
      <c r="J272" s="6" t="s">
        <v>38</v>
      </c>
      <c r="K272" s="6" t="s">
        <v>39</v>
      </c>
      <c r="L272" s="6" t="s">
        <v>40</v>
      </c>
      <c r="M272" s="6" t="s">
        <v>41</v>
      </c>
      <c r="N272" s="6" t="s">
        <v>42</v>
      </c>
      <c r="O272" s="6" t="s">
        <v>302</v>
      </c>
      <c r="P272" s="8" t="s">
        <v>923</v>
      </c>
      <c r="Q272" s="1" t="s">
        <v>33</v>
      </c>
    </row>
    <row r="273" spans="2:17" ht="33.75" x14ac:dyDescent="0.2">
      <c r="B273" s="6" t="s">
        <v>924</v>
      </c>
      <c r="C273" s="6" t="s">
        <v>925</v>
      </c>
      <c r="D273" s="6" t="s">
        <v>36</v>
      </c>
      <c r="E273" s="6" t="s">
        <v>37</v>
      </c>
      <c r="F273" s="6" t="s">
        <v>926</v>
      </c>
      <c r="G273" s="7" t="str">
        <f>HYPERLINK("https://www.google.com.au/maps/place/25° 36.918' S+151° 37.248' E","25° 36.918' S")</f>
        <v>25° 36.918' S</v>
      </c>
      <c r="H273" s="7" t="str">
        <f>HYPERLINK("https://www.google.com.au/maps/place/25° 36.918' S+151° 37.248' E","151° 37.248' E")</f>
        <v>151° 37.248' E</v>
      </c>
      <c r="I273" s="6" t="s">
        <v>101</v>
      </c>
      <c r="J273" s="6" t="s">
        <v>38</v>
      </c>
      <c r="K273" s="6" t="s">
        <v>39</v>
      </c>
      <c r="L273" s="6" t="s">
        <v>40</v>
      </c>
      <c r="M273" s="6" t="s">
        <v>41</v>
      </c>
      <c r="N273" s="6" t="s">
        <v>42</v>
      </c>
      <c r="O273" s="6" t="s">
        <v>43</v>
      </c>
      <c r="P273" s="8" t="s">
        <v>927</v>
      </c>
      <c r="Q273" s="1" t="s">
        <v>33</v>
      </c>
    </row>
    <row r="274" spans="2:17" ht="33.75" x14ac:dyDescent="0.2">
      <c r="B274" s="6" t="s">
        <v>928</v>
      </c>
      <c r="C274" s="6" t="s">
        <v>929</v>
      </c>
      <c r="D274" s="6" t="s">
        <v>36</v>
      </c>
      <c r="E274" s="6" t="s">
        <v>37</v>
      </c>
      <c r="F274" s="6" t="s">
        <v>346</v>
      </c>
      <c r="G274" s="7" t="str">
        <f>HYPERLINK("https://www.google.com.au/maps/place/27° 23.052' S+153° 7.05' E","27° 23.052' S")</f>
        <v>27° 23.052' S</v>
      </c>
      <c r="H274" s="7" t="str">
        <f>HYPERLINK("https://www.google.com.au/maps/place/27° 23.052' S+153° 7.05' E","153° 7.05' E")</f>
        <v>153° 7.05' E</v>
      </c>
      <c r="I274" s="6" t="s">
        <v>25</v>
      </c>
      <c r="J274" s="6" t="s">
        <v>38</v>
      </c>
      <c r="K274" s="6" t="s">
        <v>39</v>
      </c>
      <c r="L274" s="6" t="s">
        <v>40</v>
      </c>
      <c r="M274" s="6" t="s">
        <v>41</v>
      </c>
      <c r="N274" s="6" t="s">
        <v>42</v>
      </c>
      <c r="O274" s="6" t="s">
        <v>43</v>
      </c>
      <c r="P274" s="8" t="s">
        <v>930</v>
      </c>
      <c r="Q274" s="1" t="s">
        <v>33</v>
      </c>
    </row>
    <row r="275" spans="2:17" ht="56.25" x14ac:dyDescent="0.2">
      <c r="B275" s="6" t="s">
        <v>928</v>
      </c>
      <c r="C275" s="6" t="s">
        <v>931</v>
      </c>
      <c r="D275" s="6" t="s">
        <v>36</v>
      </c>
      <c r="E275" s="6" t="s">
        <v>37</v>
      </c>
      <c r="F275" s="6" t="s">
        <v>932</v>
      </c>
      <c r="G275" s="7" t="str">
        <f>HYPERLINK("https://www.google.com.au/maps/place/31° 33' S+152° 50.07' E","31° 33' S")</f>
        <v>31° 33' S</v>
      </c>
      <c r="H275" s="7" t="str">
        <f>HYPERLINK("https://www.google.com.au/maps/place/31° 33' S+152° 50.07' E","152° 50.07' E")</f>
        <v>152° 50.07' E</v>
      </c>
      <c r="I275" s="6" t="s">
        <v>25</v>
      </c>
      <c r="J275" s="6" t="s">
        <v>38</v>
      </c>
      <c r="K275" s="6" t="s">
        <v>39</v>
      </c>
      <c r="L275" s="6" t="s">
        <v>40</v>
      </c>
      <c r="M275" s="6" t="s">
        <v>41</v>
      </c>
      <c r="N275" s="6" t="s">
        <v>102</v>
      </c>
      <c r="O275" s="6" t="s">
        <v>103</v>
      </c>
      <c r="P275" s="8" t="s">
        <v>933</v>
      </c>
      <c r="Q275" s="1" t="s">
        <v>33</v>
      </c>
    </row>
    <row r="276" spans="2:17" ht="33.75" x14ac:dyDescent="0.2">
      <c r="B276" s="6" t="s">
        <v>934</v>
      </c>
      <c r="C276" s="6" t="s">
        <v>935</v>
      </c>
      <c r="D276" s="6" t="s">
        <v>36</v>
      </c>
      <c r="E276" s="6" t="s">
        <v>37</v>
      </c>
      <c r="F276" s="6" t="s">
        <v>193</v>
      </c>
      <c r="G276" s="7" t="str">
        <f>HYPERLINK("https://www.google.com.au/maps/place/35° 18.42' S+149° 11.7' E","35° 18.42' S")</f>
        <v>35° 18.42' S</v>
      </c>
      <c r="H276" s="7" t="str">
        <f>HYPERLINK("https://www.google.com.au/maps/place/35° 18.42' S+149° 11.7' E","149° 11.7' E")</f>
        <v>149° 11.7' E</v>
      </c>
      <c r="I276" s="6" t="s">
        <v>61</v>
      </c>
      <c r="J276" s="6" t="s">
        <v>38</v>
      </c>
      <c r="K276" s="6" t="s">
        <v>39</v>
      </c>
      <c r="L276" s="6" t="s">
        <v>40</v>
      </c>
      <c r="M276" s="6" t="s">
        <v>41</v>
      </c>
      <c r="N276" s="6" t="s">
        <v>62</v>
      </c>
      <c r="O276" s="6" t="s">
        <v>43</v>
      </c>
      <c r="P276" s="8" t="s">
        <v>936</v>
      </c>
      <c r="Q276" s="1" t="s">
        <v>33</v>
      </c>
    </row>
    <row r="277" spans="2:17" ht="67.5" x14ac:dyDescent="0.2">
      <c r="B277" s="6" t="s">
        <v>937</v>
      </c>
      <c r="C277" s="6" t="s">
        <v>938</v>
      </c>
      <c r="D277" s="6" t="s">
        <v>36</v>
      </c>
      <c r="E277" s="6" t="s">
        <v>37</v>
      </c>
      <c r="F277" s="6" t="s">
        <v>346</v>
      </c>
      <c r="G277" s="7" t="str">
        <f>HYPERLINK("https://www.google.com.au/maps/place/27° 23.052' S+153° 7.05' E","27° 23.052' S")</f>
        <v>27° 23.052' S</v>
      </c>
      <c r="H277" s="7" t="str">
        <f>HYPERLINK("https://www.google.com.au/maps/place/27° 23.052' S+153° 7.05' E","153° 7.05' E")</f>
        <v>153° 7.05' E</v>
      </c>
      <c r="I277" s="6" t="s">
        <v>101</v>
      </c>
      <c r="J277" s="6" t="s">
        <v>26</v>
      </c>
      <c r="K277" s="6" t="s">
        <v>85</v>
      </c>
      <c r="L277" s="6" t="s">
        <v>28</v>
      </c>
      <c r="M277" s="6" t="s">
        <v>29</v>
      </c>
      <c r="N277" s="6" t="s">
        <v>128</v>
      </c>
      <c r="O277" s="6" t="s">
        <v>31</v>
      </c>
      <c r="P277" s="8" t="s">
        <v>939</v>
      </c>
      <c r="Q277" s="1" t="s">
        <v>33</v>
      </c>
    </row>
    <row r="278" spans="2:17" ht="33.75" x14ac:dyDescent="0.2">
      <c r="B278" s="6" t="s">
        <v>940</v>
      </c>
      <c r="C278" s="6" t="s">
        <v>941</v>
      </c>
      <c r="D278" s="6" t="s">
        <v>36</v>
      </c>
      <c r="E278" s="6" t="s">
        <v>37</v>
      </c>
      <c r="F278" s="6" t="s">
        <v>60</v>
      </c>
      <c r="G278" s="7" t="str">
        <f>HYPERLINK("https://www.google.com.au/maps/place/35° 18.42' S+149° 11.7' E","35° 18.42' S")</f>
        <v>35° 18.42' S</v>
      </c>
      <c r="H278" s="7" t="str">
        <f>HYPERLINK("https://www.google.com.au/maps/place/35° 18.42' S+149° 11.7' E","149° 11.7' E")</f>
        <v>149° 11.7' E</v>
      </c>
      <c r="I278" s="6" t="s">
        <v>61</v>
      </c>
      <c r="J278" s="6" t="s">
        <v>38</v>
      </c>
      <c r="K278" s="6" t="s">
        <v>39</v>
      </c>
      <c r="L278" s="6" t="s">
        <v>40</v>
      </c>
      <c r="M278" s="6" t="s">
        <v>41</v>
      </c>
      <c r="N278" s="6" t="s">
        <v>62</v>
      </c>
      <c r="O278" s="6" t="s">
        <v>43</v>
      </c>
      <c r="P278" s="8" t="s">
        <v>942</v>
      </c>
      <c r="Q278" s="1" t="s">
        <v>33</v>
      </c>
    </row>
    <row r="279" spans="2:17" ht="33.75" x14ac:dyDescent="0.2">
      <c r="B279" s="6" t="s">
        <v>943</v>
      </c>
      <c r="C279" s="6" t="s">
        <v>944</v>
      </c>
      <c r="D279" s="6" t="s">
        <v>36</v>
      </c>
      <c r="E279" s="6" t="s">
        <v>37</v>
      </c>
      <c r="F279" s="6" t="s">
        <v>635</v>
      </c>
      <c r="G279" s="7" t="str">
        <f>HYPERLINK("https://www.google.com.au/maps/place/23° 34.05' S+148° 10.752' E","23° 34.05' S")</f>
        <v>23° 34.05' S</v>
      </c>
      <c r="H279" s="7" t="str">
        <f>HYPERLINK("https://www.google.com.au/maps/place/23° 34.05' S+148° 10.752' E","148° 10.752' E")</f>
        <v>148° 10.752' E</v>
      </c>
      <c r="I279" s="6" t="s">
        <v>101</v>
      </c>
      <c r="J279" s="6" t="s">
        <v>38</v>
      </c>
      <c r="K279" s="6" t="s">
        <v>39</v>
      </c>
      <c r="L279" s="6" t="s">
        <v>40</v>
      </c>
      <c r="M279" s="6" t="s">
        <v>41</v>
      </c>
      <c r="N279" s="6" t="s">
        <v>102</v>
      </c>
      <c r="O279" s="6" t="s">
        <v>103</v>
      </c>
      <c r="P279" s="8" t="s">
        <v>945</v>
      </c>
      <c r="Q279" s="1" t="s">
        <v>33</v>
      </c>
    </row>
    <row r="280" spans="2:17" ht="33.75" x14ac:dyDescent="0.2">
      <c r="B280" s="6" t="s">
        <v>946</v>
      </c>
      <c r="C280" s="6" t="s">
        <v>947</v>
      </c>
      <c r="D280" s="6" t="s">
        <v>36</v>
      </c>
      <c r="E280" s="6" t="s">
        <v>37</v>
      </c>
      <c r="F280" s="6" t="s">
        <v>132</v>
      </c>
      <c r="G280" s="7" t="str">
        <f>HYPERLINK("https://www.google.com.au/maps/place/37° 40.398' S+144° 50.598' E","37° 40.398' S")</f>
        <v>37° 40.398' S</v>
      </c>
      <c r="H280" s="7" t="str">
        <f>HYPERLINK("https://www.google.com.au/maps/place/37° 40.398' S+144° 50.598' E","144° 50.598' E")</f>
        <v>144° 50.598' E</v>
      </c>
      <c r="I280" s="6" t="s">
        <v>133</v>
      </c>
      <c r="J280" s="6" t="s">
        <v>38</v>
      </c>
      <c r="K280" s="6" t="s">
        <v>39</v>
      </c>
      <c r="L280" s="6" t="s">
        <v>40</v>
      </c>
      <c r="M280" s="6" t="s">
        <v>41</v>
      </c>
      <c r="N280" s="6" t="s">
        <v>62</v>
      </c>
      <c r="O280" s="6" t="s">
        <v>43</v>
      </c>
      <c r="P280" s="8" t="s">
        <v>948</v>
      </c>
      <c r="Q280" s="1" t="s">
        <v>33</v>
      </c>
    </row>
    <row r="281" spans="2:17" ht="33.75" x14ac:dyDescent="0.2">
      <c r="B281" s="6" t="s">
        <v>946</v>
      </c>
      <c r="C281" s="6" t="s">
        <v>949</v>
      </c>
      <c r="D281" s="6" t="s">
        <v>36</v>
      </c>
      <c r="E281" s="6" t="s">
        <v>37</v>
      </c>
      <c r="F281" s="6" t="s">
        <v>405</v>
      </c>
      <c r="G281" s="7" t="str">
        <f>HYPERLINK("https://www.google.com.au/maps/place/23° 22.92' S+150° 28.518' E","23° 22.92' S")</f>
        <v>23° 22.92' S</v>
      </c>
      <c r="H281" s="7" t="str">
        <f>HYPERLINK("https://www.google.com.au/maps/place/23° 22.92' S+150° 28.518' E","150° 28.518' E")</f>
        <v>150° 28.518' E</v>
      </c>
      <c r="I281" s="6" t="s">
        <v>101</v>
      </c>
      <c r="J281" s="6" t="s">
        <v>38</v>
      </c>
      <c r="K281" s="6" t="s">
        <v>39</v>
      </c>
      <c r="L281" s="6" t="s">
        <v>40</v>
      </c>
      <c r="M281" s="6" t="s">
        <v>41</v>
      </c>
      <c r="N281" s="6" t="s">
        <v>62</v>
      </c>
      <c r="O281" s="6" t="s">
        <v>71</v>
      </c>
      <c r="P281" s="8" t="s">
        <v>950</v>
      </c>
      <c r="Q281" s="1" t="s">
        <v>33</v>
      </c>
    </row>
    <row r="282" spans="2:17" ht="33.75" x14ac:dyDescent="0.2">
      <c r="B282" s="6" t="s">
        <v>946</v>
      </c>
      <c r="C282" s="6" t="s">
        <v>951</v>
      </c>
      <c r="D282" s="6" t="s">
        <v>36</v>
      </c>
      <c r="E282" s="6" t="s">
        <v>37</v>
      </c>
      <c r="F282" s="6" t="s">
        <v>952</v>
      </c>
      <c r="G282" s="7" t="str">
        <f>HYPERLINK("https://www.google.com.au/maps/place/27° 23.052' S+153° 7.05' E","27° 23.052' S")</f>
        <v>27° 23.052' S</v>
      </c>
      <c r="H282" s="7" t="str">
        <f>HYPERLINK("https://www.google.com.au/maps/place/27° 23.052' S+153° 7.05' E","153° 7.05' E")</f>
        <v>153° 7.05' E</v>
      </c>
      <c r="I282" s="6" t="s">
        <v>101</v>
      </c>
      <c r="J282" s="6" t="s">
        <v>38</v>
      </c>
      <c r="K282" s="6" t="s">
        <v>39</v>
      </c>
      <c r="L282" s="6" t="s">
        <v>40</v>
      </c>
      <c r="M282" s="6" t="s">
        <v>41</v>
      </c>
      <c r="N282" s="6" t="s">
        <v>42</v>
      </c>
      <c r="O282" s="6" t="s">
        <v>43</v>
      </c>
      <c r="P282" s="8" t="s">
        <v>953</v>
      </c>
      <c r="Q282" s="1" t="s">
        <v>33</v>
      </c>
    </row>
    <row r="283" spans="2:17" ht="33.75" x14ac:dyDescent="0.2">
      <c r="B283" s="6" t="s">
        <v>954</v>
      </c>
      <c r="C283" s="6" t="s">
        <v>955</v>
      </c>
      <c r="D283" s="6" t="s">
        <v>36</v>
      </c>
      <c r="E283" s="6" t="s">
        <v>37</v>
      </c>
      <c r="F283" s="6" t="s">
        <v>514</v>
      </c>
      <c r="G283" s="7" t="str">
        <f>HYPERLINK("https://www.google.com.au/maps/place/23° 52.182' S+151° 13.368' E","23° 52.182' S")</f>
        <v>23° 52.182' S</v>
      </c>
      <c r="H283" s="7" t="str">
        <f>HYPERLINK("https://www.google.com.au/maps/place/23° 52.182' S+151° 13.368' E","151° 13.368' E")</f>
        <v>151° 13.368' E</v>
      </c>
      <c r="I283" s="6" t="s">
        <v>101</v>
      </c>
      <c r="J283" s="6" t="s">
        <v>38</v>
      </c>
      <c r="K283" s="6" t="s">
        <v>39</v>
      </c>
      <c r="L283" s="6" t="s">
        <v>40</v>
      </c>
      <c r="M283" s="6" t="s">
        <v>41</v>
      </c>
      <c r="N283" s="6" t="s">
        <v>42</v>
      </c>
      <c r="O283" s="6" t="s">
        <v>43</v>
      </c>
      <c r="P283" s="8" t="s">
        <v>956</v>
      </c>
      <c r="Q283" s="1" t="s">
        <v>702</v>
      </c>
    </row>
    <row r="284" spans="2:17" ht="33.75" x14ac:dyDescent="0.2">
      <c r="B284" s="6" t="s">
        <v>957</v>
      </c>
      <c r="C284" s="6" t="s">
        <v>958</v>
      </c>
      <c r="D284" s="6" t="s">
        <v>36</v>
      </c>
      <c r="E284" s="6" t="s">
        <v>37</v>
      </c>
      <c r="F284" s="6" t="s">
        <v>346</v>
      </c>
      <c r="G284" s="7" t="str">
        <f>HYPERLINK("https://www.google.com.au/maps/place/27° 23.052' S+153° 7.05' E","27° 23.052' S")</f>
        <v>27° 23.052' S</v>
      </c>
      <c r="H284" s="7" t="str">
        <f>HYPERLINK("https://www.google.com.au/maps/place/27° 23.052' S+153° 7.05' E","153° 7.05' E")</f>
        <v>153° 7.05' E</v>
      </c>
      <c r="I284" s="6" t="s">
        <v>101</v>
      </c>
      <c r="J284" s="6" t="s">
        <v>38</v>
      </c>
      <c r="K284" s="6" t="s">
        <v>39</v>
      </c>
      <c r="L284" s="6" t="s">
        <v>40</v>
      </c>
      <c r="M284" s="6" t="s">
        <v>41</v>
      </c>
      <c r="N284" s="6" t="s">
        <v>62</v>
      </c>
      <c r="O284" s="6" t="s">
        <v>43</v>
      </c>
      <c r="P284" s="8" t="s">
        <v>959</v>
      </c>
      <c r="Q284" s="1" t="s">
        <v>33</v>
      </c>
    </row>
    <row r="285" spans="2:17" ht="33.75" x14ac:dyDescent="0.2">
      <c r="B285" s="6" t="s">
        <v>960</v>
      </c>
      <c r="C285" s="6" t="s">
        <v>961</v>
      </c>
      <c r="D285" s="6" t="s">
        <v>36</v>
      </c>
      <c r="E285" s="6" t="s">
        <v>37</v>
      </c>
      <c r="F285" s="6" t="s">
        <v>346</v>
      </c>
      <c r="G285" s="7" t="str">
        <f>HYPERLINK("https://www.google.com.au/maps/place/27° 23.052' S+153° 7.05' E","27° 23.052' S")</f>
        <v>27° 23.052' S</v>
      </c>
      <c r="H285" s="7" t="str">
        <f>HYPERLINK("https://www.google.com.au/maps/place/27° 23.052' S+153° 7.05' E","153° 7.05' E")</f>
        <v>153° 7.05' E</v>
      </c>
      <c r="I285" s="6" t="s">
        <v>101</v>
      </c>
      <c r="J285" s="6" t="s">
        <v>38</v>
      </c>
      <c r="K285" s="6" t="s">
        <v>39</v>
      </c>
      <c r="L285" s="6" t="s">
        <v>40</v>
      </c>
      <c r="M285" s="6" t="s">
        <v>41</v>
      </c>
      <c r="N285" s="6" t="s">
        <v>62</v>
      </c>
      <c r="O285" s="6" t="s">
        <v>43</v>
      </c>
      <c r="P285" s="8" t="s">
        <v>962</v>
      </c>
      <c r="Q285" s="1" t="s">
        <v>33</v>
      </c>
    </row>
    <row r="286" spans="2:17" ht="33.75" x14ac:dyDescent="0.2">
      <c r="B286" s="6" t="s">
        <v>963</v>
      </c>
      <c r="C286" s="6" t="s">
        <v>964</v>
      </c>
      <c r="D286" s="6" t="s">
        <v>36</v>
      </c>
      <c r="E286" s="6" t="s">
        <v>37</v>
      </c>
      <c r="F286" s="6" t="s">
        <v>60</v>
      </c>
      <c r="G286" s="7" t="str">
        <f>HYPERLINK("https://www.google.com.au/maps/place/35° 18.42' S+149° 11.7' E","35° 18.42' S")</f>
        <v>35° 18.42' S</v>
      </c>
      <c r="H286" s="7" t="str">
        <f>HYPERLINK("https://www.google.com.au/maps/place/35° 18.42' S+149° 11.7' E","149° 11.7' E")</f>
        <v>149° 11.7' E</v>
      </c>
      <c r="I286" s="6" t="s">
        <v>61</v>
      </c>
      <c r="J286" s="6" t="s">
        <v>38</v>
      </c>
      <c r="K286" s="6" t="s">
        <v>39</v>
      </c>
      <c r="L286" s="6" t="s">
        <v>40</v>
      </c>
      <c r="M286" s="6" t="s">
        <v>41</v>
      </c>
      <c r="N286" s="6" t="s">
        <v>62</v>
      </c>
      <c r="O286" s="6" t="s">
        <v>43</v>
      </c>
      <c r="P286" s="8" t="s">
        <v>965</v>
      </c>
      <c r="Q286" s="1" t="s">
        <v>33</v>
      </c>
    </row>
    <row r="287" spans="2:17" ht="33.75" x14ac:dyDescent="0.2">
      <c r="B287" s="6" t="s">
        <v>966</v>
      </c>
      <c r="C287" s="6" t="s">
        <v>967</v>
      </c>
      <c r="D287" s="6" t="s">
        <v>36</v>
      </c>
      <c r="E287" s="6" t="s">
        <v>37</v>
      </c>
      <c r="F287" s="6" t="s">
        <v>60</v>
      </c>
      <c r="G287" s="7" t="str">
        <f>HYPERLINK("https://www.google.com.au/maps/place/35° 18.42' S+149° 11.7' E","35° 18.42' S")</f>
        <v>35° 18.42' S</v>
      </c>
      <c r="H287" s="7" t="str">
        <f>HYPERLINK("https://www.google.com.au/maps/place/35° 18.42' S+149° 11.7' E","149° 11.7' E")</f>
        <v>149° 11.7' E</v>
      </c>
      <c r="I287" s="6" t="s">
        <v>61</v>
      </c>
      <c r="J287" s="6" t="s">
        <v>38</v>
      </c>
      <c r="K287" s="6" t="s">
        <v>39</v>
      </c>
      <c r="L287" s="6" t="s">
        <v>40</v>
      </c>
      <c r="M287" s="6" t="s">
        <v>41</v>
      </c>
      <c r="N287" s="6" t="s">
        <v>62</v>
      </c>
      <c r="O287" s="6" t="s">
        <v>43</v>
      </c>
      <c r="P287" s="8" t="s">
        <v>470</v>
      </c>
      <c r="Q287" s="1" t="s">
        <v>33</v>
      </c>
    </row>
    <row r="288" spans="2:17" ht="33.75" x14ac:dyDescent="0.2">
      <c r="B288" s="6" t="s">
        <v>968</v>
      </c>
      <c r="C288" s="6" t="s">
        <v>969</v>
      </c>
      <c r="D288" s="6" t="s">
        <v>36</v>
      </c>
      <c r="E288" s="6" t="s">
        <v>37</v>
      </c>
      <c r="F288" s="6" t="s">
        <v>582</v>
      </c>
      <c r="G288" s="7" t="str">
        <f>HYPERLINK("https://www.google.com.au/maps/place/23° 52.182' S+151° 13.368' E","23° 52.182' S")</f>
        <v>23° 52.182' S</v>
      </c>
      <c r="H288" s="7" t="str">
        <f>HYPERLINK("https://www.google.com.au/maps/place/23° 52.182' S+151° 13.368' E","151° 13.368' E")</f>
        <v>151° 13.368' E</v>
      </c>
      <c r="I288" s="6" t="s">
        <v>101</v>
      </c>
      <c r="J288" s="6" t="s">
        <v>38</v>
      </c>
      <c r="K288" s="6" t="s">
        <v>39</v>
      </c>
      <c r="L288" s="6" t="s">
        <v>40</v>
      </c>
      <c r="M288" s="6" t="s">
        <v>41</v>
      </c>
      <c r="N288" s="6" t="s">
        <v>102</v>
      </c>
      <c r="O288" s="6" t="s">
        <v>103</v>
      </c>
      <c r="P288" s="8" t="s">
        <v>243</v>
      </c>
      <c r="Q288" s="1" t="s">
        <v>33</v>
      </c>
    </row>
    <row r="289" spans="2:17" ht="33.75" x14ac:dyDescent="0.2">
      <c r="B289" s="6" t="s">
        <v>970</v>
      </c>
      <c r="C289" s="6" t="s">
        <v>971</v>
      </c>
      <c r="D289" s="6" t="s">
        <v>36</v>
      </c>
      <c r="E289" s="6" t="s">
        <v>37</v>
      </c>
      <c r="F289" s="6" t="s">
        <v>193</v>
      </c>
      <c r="G289" s="7" t="str">
        <f>HYPERLINK("https://www.google.com.au/maps/place/35° 18.42' S+149° 11.7' E","35° 18.42' S")</f>
        <v>35° 18.42' S</v>
      </c>
      <c r="H289" s="7" t="str">
        <f>HYPERLINK("https://www.google.com.au/maps/place/35° 18.42' S+149° 11.7' E","149° 11.7' E")</f>
        <v>149° 11.7' E</v>
      </c>
      <c r="I289" s="6" t="s">
        <v>61</v>
      </c>
      <c r="J289" s="6" t="s">
        <v>38</v>
      </c>
      <c r="K289" s="6" t="s">
        <v>39</v>
      </c>
      <c r="L289" s="6" t="s">
        <v>40</v>
      </c>
      <c r="M289" s="6" t="s">
        <v>41</v>
      </c>
      <c r="N289" s="6" t="s">
        <v>42</v>
      </c>
      <c r="O289" s="6" t="s">
        <v>43</v>
      </c>
      <c r="P289" s="8" t="s">
        <v>936</v>
      </c>
      <c r="Q289" s="1" t="s">
        <v>33</v>
      </c>
    </row>
    <row r="290" spans="2:17" ht="33.75" x14ac:dyDescent="0.2">
      <c r="B290" s="6" t="s">
        <v>970</v>
      </c>
      <c r="C290" s="6" t="s">
        <v>972</v>
      </c>
      <c r="D290" s="6" t="s">
        <v>36</v>
      </c>
      <c r="E290" s="6" t="s">
        <v>37</v>
      </c>
      <c r="F290" s="6" t="s">
        <v>346</v>
      </c>
      <c r="G290" s="7" t="str">
        <f>HYPERLINK("https://www.google.com.au/maps/place/27° 23.052' S+153° 7.05' E","27° 23.052' S")</f>
        <v>27° 23.052' S</v>
      </c>
      <c r="H290" s="7" t="str">
        <f>HYPERLINK("https://www.google.com.au/maps/place/27° 23.052' S+153° 7.05' E","153° 7.05' E")</f>
        <v>153° 7.05' E</v>
      </c>
      <c r="I290" s="6" t="s">
        <v>101</v>
      </c>
      <c r="J290" s="6" t="s">
        <v>38</v>
      </c>
      <c r="K290" s="6" t="s">
        <v>39</v>
      </c>
      <c r="L290" s="6" t="s">
        <v>40</v>
      </c>
      <c r="M290" s="6" t="s">
        <v>41</v>
      </c>
      <c r="N290" s="6" t="s">
        <v>62</v>
      </c>
      <c r="O290" s="6" t="s">
        <v>43</v>
      </c>
      <c r="P290" s="8" t="s">
        <v>973</v>
      </c>
      <c r="Q290" s="1" t="s">
        <v>33</v>
      </c>
    </row>
    <row r="291" spans="2:17" ht="33.75" x14ac:dyDescent="0.2">
      <c r="B291" s="6" t="s">
        <v>974</v>
      </c>
      <c r="C291" s="6" t="s">
        <v>975</v>
      </c>
      <c r="D291" s="6" t="s">
        <v>36</v>
      </c>
      <c r="E291" s="6" t="s">
        <v>37</v>
      </c>
      <c r="F291" s="6" t="s">
        <v>24</v>
      </c>
      <c r="G291" s="7" t="str">
        <f>HYPERLINK("https://www.google.com.au/maps/place/33° 56.772' S+151° 10.632' E","33° 56.772' S")</f>
        <v>33° 56.772' S</v>
      </c>
      <c r="H291" s="7" t="str">
        <f>HYPERLINK("https://www.google.com.au/maps/place/33° 56.772' S+151° 10.632' E","151° 10.632' E")</f>
        <v>151° 10.632' E</v>
      </c>
      <c r="I291" s="6" t="s">
        <v>25</v>
      </c>
      <c r="J291" s="6" t="s">
        <v>38</v>
      </c>
      <c r="K291" s="6" t="s">
        <v>39</v>
      </c>
      <c r="L291" s="6" t="s">
        <v>40</v>
      </c>
      <c r="M291" s="6" t="s">
        <v>41</v>
      </c>
      <c r="N291" s="6" t="s">
        <v>62</v>
      </c>
      <c r="O291" s="6" t="s">
        <v>43</v>
      </c>
      <c r="P291" s="8" t="s">
        <v>976</v>
      </c>
      <c r="Q291" s="1" t="s">
        <v>33</v>
      </c>
    </row>
    <row r="292" spans="2:17" ht="45" x14ac:dyDescent="0.2">
      <c r="B292" s="6" t="s">
        <v>974</v>
      </c>
      <c r="C292" s="6" t="s">
        <v>977</v>
      </c>
      <c r="D292" s="6" t="s">
        <v>36</v>
      </c>
      <c r="E292" s="6" t="s">
        <v>37</v>
      </c>
      <c r="F292" s="6" t="s">
        <v>193</v>
      </c>
      <c r="G292" s="7" t="str">
        <f>HYPERLINK("https://www.google.com.au/maps/place/35° 18.42' S+149° 11.7' E","35° 18.42' S")</f>
        <v>35° 18.42' S</v>
      </c>
      <c r="H292" s="7" t="str">
        <f>HYPERLINK("https://www.google.com.au/maps/place/35° 18.42' S+149° 11.7' E","149° 11.7' E")</f>
        <v>149° 11.7' E</v>
      </c>
      <c r="I292" s="6" t="s">
        <v>61</v>
      </c>
      <c r="J292" s="6" t="s">
        <v>38</v>
      </c>
      <c r="K292" s="6" t="s">
        <v>39</v>
      </c>
      <c r="L292" s="6" t="s">
        <v>40</v>
      </c>
      <c r="M292" s="6" t="s">
        <v>41</v>
      </c>
      <c r="N292" s="6" t="s">
        <v>237</v>
      </c>
      <c r="O292" s="6" t="s">
        <v>237</v>
      </c>
      <c r="P292" s="8" t="s">
        <v>978</v>
      </c>
      <c r="Q292" s="1" t="s">
        <v>33</v>
      </c>
    </row>
    <row r="293" spans="2:17" ht="33.75" x14ac:dyDescent="0.2">
      <c r="B293" s="6" t="s">
        <v>979</v>
      </c>
      <c r="C293" s="6" t="s">
        <v>980</v>
      </c>
      <c r="D293" s="6" t="s">
        <v>36</v>
      </c>
      <c r="E293" s="6" t="s">
        <v>37</v>
      </c>
      <c r="F293" s="6" t="s">
        <v>582</v>
      </c>
      <c r="G293" s="7" t="str">
        <f>HYPERLINK("https://www.google.com.au/maps/place/23° 52.182' S+151° 13.368' E","23° 52.182' S")</f>
        <v>23° 52.182' S</v>
      </c>
      <c r="H293" s="7" t="str">
        <f>HYPERLINK("https://www.google.com.au/maps/place/23° 52.182' S+151° 13.368' E","151° 13.368' E")</f>
        <v>151° 13.368' E</v>
      </c>
      <c r="I293" s="6" t="s">
        <v>101</v>
      </c>
      <c r="J293" s="6" t="s">
        <v>38</v>
      </c>
      <c r="K293" s="6" t="s">
        <v>39</v>
      </c>
      <c r="L293" s="6" t="s">
        <v>40</v>
      </c>
      <c r="M293" s="6" t="s">
        <v>41</v>
      </c>
      <c r="N293" s="6" t="s">
        <v>102</v>
      </c>
      <c r="O293" s="6" t="s">
        <v>103</v>
      </c>
      <c r="P293" s="8" t="s">
        <v>981</v>
      </c>
      <c r="Q293" s="1" t="s">
        <v>33</v>
      </c>
    </row>
    <row r="294" spans="2:17" ht="33.75" x14ac:dyDescent="0.2">
      <c r="B294" s="6" t="s">
        <v>982</v>
      </c>
      <c r="C294" s="6" t="s">
        <v>983</v>
      </c>
      <c r="D294" s="6" t="s">
        <v>36</v>
      </c>
      <c r="E294" s="6" t="s">
        <v>37</v>
      </c>
      <c r="F294" s="6" t="s">
        <v>346</v>
      </c>
      <c r="G294" s="7" t="str">
        <f>HYPERLINK("https://www.google.com.au/maps/place/27° 23.052' S+153° 7.05' E","27° 23.052' S")</f>
        <v>27° 23.052' S</v>
      </c>
      <c r="H294" s="7" t="str">
        <f>HYPERLINK("https://www.google.com.au/maps/place/27° 23.052' S+153° 7.05' E","153° 7.05' E")</f>
        <v>153° 7.05' E</v>
      </c>
      <c r="I294" s="6" t="s">
        <v>101</v>
      </c>
      <c r="J294" s="6" t="s">
        <v>38</v>
      </c>
      <c r="K294" s="6" t="s">
        <v>39</v>
      </c>
      <c r="L294" s="6" t="s">
        <v>40</v>
      </c>
      <c r="M294" s="6" t="s">
        <v>41</v>
      </c>
      <c r="N294" s="6" t="s">
        <v>62</v>
      </c>
      <c r="O294" s="6" t="s">
        <v>43</v>
      </c>
      <c r="P294" s="8" t="s">
        <v>984</v>
      </c>
      <c r="Q294" s="1" t="s">
        <v>33</v>
      </c>
    </row>
    <row r="295" spans="2:17" ht="33.75" x14ac:dyDescent="0.2">
      <c r="B295" s="6" t="s">
        <v>985</v>
      </c>
      <c r="C295" s="6" t="s">
        <v>986</v>
      </c>
      <c r="D295" s="6" t="s">
        <v>36</v>
      </c>
      <c r="E295" s="6" t="s">
        <v>37</v>
      </c>
      <c r="F295" s="6" t="s">
        <v>555</v>
      </c>
      <c r="G295" s="7" t="str">
        <f>HYPERLINK("https://www.google.com.au/maps/place/27° 23.052' S+153° 7.05' E","27° 23.052' S")</f>
        <v>27° 23.052' S</v>
      </c>
      <c r="H295" s="7" t="str">
        <f>HYPERLINK("https://www.google.com.au/maps/place/27° 23.052' S+153° 7.05' E","153° 7.05' E")</f>
        <v>153° 7.05' E</v>
      </c>
      <c r="I295" s="6" t="s">
        <v>101</v>
      </c>
      <c r="J295" s="6" t="s">
        <v>38</v>
      </c>
      <c r="K295" s="6" t="s">
        <v>39</v>
      </c>
      <c r="L295" s="6" t="s">
        <v>40</v>
      </c>
      <c r="M295" s="6" t="s">
        <v>41</v>
      </c>
      <c r="N295" s="6" t="s">
        <v>62</v>
      </c>
      <c r="O295" s="6" t="s">
        <v>43</v>
      </c>
      <c r="P295" s="8" t="s">
        <v>987</v>
      </c>
      <c r="Q295" s="1" t="s">
        <v>33</v>
      </c>
    </row>
    <row r="296" spans="2:17" ht="33.75" x14ac:dyDescent="0.2">
      <c r="B296" s="6" t="s">
        <v>988</v>
      </c>
      <c r="C296" s="6" t="s">
        <v>989</v>
      </c>
      <c r="D296" s="6" t="s">
        <v>36</v>
      </c>
      <c r="E296" s="6" t="s">
        <v>37</v>
      </c>
      <c r="F296" s="6" t="s">
        <v>405</v>
      </c>
      <c r="G296" s="7" t="str">
        <f>HYPERLINK("https://www.google.com.au/maps/place/23° 22.92' S+150° 28.518' E","23° 22.92' S")</f>
        <v>23° 22.92' S</v>
      </c>
      <c r="H296" s="7" t="str">
        <f>HYPERLINK("https://www.google.com.au/maps/place/23° 22.92' S+150° 28.518' E","150° 28.518' E")</f>
        <v>150° 28.518' E</v>
      </c>
      <c r="I296" s="6" t="s">
        <v>101</v>
      </c>
      <c r="J296" s="6" t="s">
        <v>38</v>
      </c>
      <c r="K296" s="6" t="s">
        <v>39</v>
      </c>
      <c r="L296" s="6" t="s">
        <v>40</v>
      </c>
      <c r="M296" s="6" t="s">
        <v>41</v>
      </c>
      <c r="N296" s="6" t="s">
        <v>42</v>
      </c>
      <c r="O296" s="6" t="s">
        <v>461</v>
      </c>
      <c r="P296" s="8" t="s">
        <v>990</v>
      </c>
      <c r="Q296" s="1" t="s">
        <v>33</v>
      </c>
    </row>
    <row r="297" spans="2:17" ht="33.75" x14ac:dyDescent="0.2">
      <c r="B297" s="6" t="s">
        <v>991</v>
      </c>
      <c r="C297" s="6" t="s">
        <v>992</v>
      </c>
      <c r="D297" s="6" t="s">
        <v>36</v>
      </c>
      <c r="E297" s="6" t="s">
        <v>37</v>
      </c>
      <c r="F297" s="6" t="s">
        <v>993</v>
      </c>
      <c r="G297" s="7" t="str">
        <f>HYPERLINK("https://www.google.com.au/maps/place/23° 43.422' S+150° 34.068' E","23° 43.422' S")</f>
        <v>23° 43.422' S</v>
      </c>
      <c r="H297" s="7" t="str">
        <f>HYPERLINK("https://www.google.com.au/maps/place/23° 43.422' S+150° 34.068' E","150° 34.068' E")</f>
        <v>150° 34.068' E</v>
      </c>
      <c r="I297" s="6" t="s">
        <v>101</v>
      </c>
      <c r="J297" s="6" t="s">
        <v>38</v>
      </c>
      <c r="K297" s="6" t="s">
        <v>39</v>
      </c>
      <c r="L297" s="6" t="s">
        <v>40</v>
      </c>
      <c r="M297" s="6" t="s">
        <v>41</v>
      </c>
      <c r="N297" s="6" t="s">
        <v>42</v>
      </c>
      <c r="O297" s="6" t="s">
        <v>302</v>
      </c>
      <c r="P297" s="8" t="s">
        <v>994</v>
      </c>
      <c r="Q297" s="1" t="s">
        <v>33</v>
      </c>
    </row>
    <row r="298" spans="2:17" ht="33.75" x14ac:dyDescent="0.2">
      <c r="B298" s="6" t="s">
        <v>995</v>
      </c>
      <c r="C298" s="6" t="s">
        <v>996</v>
      </c>
      <c r="D298" s="6" t="s">
        <v>36</v>
      </c>
      <c r="E298" s="6" t="s">
        <v>37</v>
      </c>
      <c r="F298" s="6" t="s">
        <v>997</v>
      </c>
      <c r="G298" s="7" t="str">
        <f>HYPERLINK("https://www.google.com.au/maps/place/27° 24.78' S+152° 55.98' E","27° 24.78' S")</f>
        <v>27° 24.78' S</v>
      </c>
      <c r="H298" s="7" t="str">
        <f>HYPERLINK("https://www.google.com.au/maps/place/27° 24.78' S+152° 55.98' E","152° 55.98' E")</f>
        <v>152° 55.98' E</v>
      </c>
      <c r="I298" s="6" t="s">
        <v>101</v>
      </c>
      <c r="J298" s="6" t="s">
        <v>38</v>
      </c>
      <c r="K298" s="6" t="s">
        <v>39</v>
      </c>
      <c r="L298" s="6" t="s">
        <v>40</v>
      </c>
      <c r="M298" s="6" t="s">
        <v>41</v>
      </c>
      <c r="N298" s="6" t="s">
        <v>42</v>
      </c>
      <c r="O298" s="6" t="s">
        <v>43</v>
      </c>
      <c r="P298" s="8" t="s">
        <v>998</v>
      </c>
      <c r="Q298" s="1" t="s">
        <v>33</v>
      </c>
    </row>
    <row r="299" spans="2:17" ht="56.25" x14ac:dyDescent="0.2">
      <c r="B299" s="6" t="s">
        <v>999</v>
      </c>
      <c r="C299" s="6" t="s">
        <v>1000</v>
      </c>
      <c r="D299" s="6" t="s">
        <v>36</v>
      </c>
      <c r="E299" s="6" t="s">
        <v>37</v>
      </c>
      <c r="F299" s="6" t="s">
        <v>1001</v>
      </c>
      <c r="G299" s="7" t="str">
        <f>HYPERLINK("https://www.google.com.au/maps/place/26° 33.672' S+152° 28.668' E","26° 33.672' S")</f>
        <v>26° 33.672' S</v>
      </c>
      <c r="H299" s="7" t="str">
        <f>HYPERLINK("https://www.google.com.au/maps/place/26° 33.672' S+152° 28.668' E","152° 28.668' E")</f>
        <v>152° 28.668' E</v>
      </c>
      <c r="I299" s="6" t="s">
        <v>101</v>
      </c>
      <c r="J299" s="6" t="s">
        <v>295</v>
      </c>
      <c r="K299" s="6" t="s">
        <v>296</v>
      </c>
      <c r="L299" s="6" t="s">
        <v>28</v>
      </c>
      <c r="M299" s="6" t="s">
        <v>29</v>
      </c>
      <c r="N299" s="6" t="s">
        <v>86</v>
      </c>
      <c r="O299" s="6" t="s">
        <v>31</v>
      </c>
      <c r="P299" s="8" t="s">
        <v>1002</v>
      </c>
      <c r="Q299" s="1" t="s">
        <v>33</v>
      </c>
    </row>
    <row r="300" spans="2:17" ht="33.75" x14ac:dyDescent="0.2">
      <c r="B300" s="6" t="s">
        <v>999</v>
      </c>
      <c r="C300" s="6" t="s">
        <v>1003</v>
      </c>
      <c r="D300" s="6" t="s">
        <v>36</v>
      </c>
      <c r="E300" s="6" t="s">
        <v>37</v>
      </c>
      <c r="F300" s="6" t="s">
        <v>926</v>
      </c>
      <c r="G300" s="7" t="str">
        <f>HYPERLINK("https://www.google.com.au/maps/place/25° 36.918' S+151° 37.248' E","25° 36.918' S")</f>
        <v>25° 36.918' S</v>
      </c>
      <c r="H300" s="7" t="str">
        <f>HYPERLINK("https://www.google.com.au/maps/place/25° 36.918' S+151° 37.248' E","151° 37.248' E")</f>
        <v>151° 37.248' E</v>
      </c>
      <c r="I300" s="6" t="s">
        <v>101</v>
      </c>
      <c r="J300" s="6" t="s">
        <v>38</v>
      </c>
      <c r="K300" s="6" t="s">
        <v>39</v>
      </c>
      <c r="L300" s="6" t="s">
        <v>40</v>
      </c>
      <c r="M300" s="6" t="s">
        <v>41</v>
      </c>
      <c r="N300" s="6" t="s">
        <v>42</v>
      </c>
      <c r="O300" s="6" t="s">
        <v>43</v>
      </c>
      <c r="P300" s="8" t="s">
        <v>1004</v>
      </c>
      <c r="Q300" s="1" t="s">
        <v>33</v>
      </c>
    </row>
    <row r="301" spans="2:17" ht="33.75" x14ac:dyDescent="0.2">
      <c r="B301" s="6" t="s">
        <v>1005</v>
      </c>
      <c r="C301" s="6" t="s">
        <v>1006</v>
      </c>
      <c r="D301" s="6" t="s">
        <v>36</v>
      </c>
      <c r="E301" s="6" t="s">
        <v>37</v>
      </c>
      <c r="F301" s="6" t="s">
        <v>582</v>
      </c>
      <c r="G301" s="7" t="str">
        <f>HYPERLINK("https://www.google.com.au/maps/place/23° 52.182' S+151° 13.368' E","23° 52.182' S")</f>
        <v>23° 52.182' S</v>
      </c>
      <c r="H301" s="7" t="str">
        <f>HYPERLINK("https://www.google.com.au/maps/place/23° 52.182' S+151° 13.368' E","151° 13.368' E")</f>
        <v>151° 13.368' E</v>
      </c>
      <c r="I301" s="6" t="s">
        <v>101</v>
      </c>
      <c r="J301" s="6" t="s">
        <v>38</v>
      </c>
      <c r="K301" s="6" t="s">
        <v>39</v>
      </c>
      <c r="L301" s="6" t="s">
        <v>40</v>
      </c>
      <c r="M301" s="6" t="s">
        <v>41</v>
      </c>
      <c r="N301" s="6" t="s">
        <v>102</v>
      </c>
      <c r="O301" s="6" t="s">
        <v>103</v>
      </c>
      <c r="P301" s="8" t="s">
        <v>66</v>
      </c>
      <c r="Q301" s="1" t="s">
        <v>33</v>
      </c>
    </row>
    <row r="302" spans="2:17" ht="33.75" x14ac:dyDescent="0.2">
      <c r="B302" s="6" t="s">
        <v>1007</v>
      </c>
      <c r="C302" s="6" t="s">
        <v>1008</v>
      </c>
      <c r="D302" s="6" t="s">
        <v>36</v>
      </c>
      <c r="E302" s="6" t="s">
        <v>37</v>
      </c>
      <c r="F302" s="6" t="s">
        <v>60</v>
      </c>
      <c r="G302" s="7" t="str">
        <f>HYPERLINK("https://www.google.com.au/maps/place/35° 18.42' S+149° 11.7' E","35° 18.42' S")</f>
        <v>35° 18.42' S</v>
      </c>
      <c r="H302" s="7" t="str">
        <f>HYPERLINK("https://www.google.com.au/maps/place/35° 18.42' S+149° 11.7' E","149° 11.7' E")</f>
        <v>149° 11.7' E</v>
      </c>
      <c r="I302" s="6" t="s">
        <v>61</v>
      </c>
      <c r="J302" s="6" t="s">
        <v>38</v>
      </c>
      <c r="K302" s="6" t="s">
        <v>39</v>
      </c>
      <c r="L302" s="6" t="s">
        <v>40</v>
      </c>
      <c r="M302" s="6" t="s">
        <v>41</v>
      </c>
      <c r="N302" s="6" t="s">
        <v>62</v>
      </c>
      <c r="O302" s="6" t="s">
        <v>43</v>
      </c>
      <c r="P302" s="8" t="s">
        <v>1009</v>
      </c>
      <c r="Q302" s="1" t="s">
        <v>33</v>
      </c>
    </row>
    <row r="303" spans="2:17" ht="33.75" x14ac:dyDescent="0.2">
      <c r="B303" s="6" t="s">
        <v>1010</v>
      </c>
      <c r="C303" s="6" t="s">
        <v>1011</v>
      </c>
      <c r="D303" s="6" t="s">
        <v>36</v>
      </c>
      <c r="E303" s="6" t="s">
        <v>37</v>
      </c>
      <c r="F303" s="6" t="s">
        <v>1012</v>
      </c>
      <c r="G303" s="7" t="str">
        <f>HYPERLINK("https://www.google.com.au/maps/place/23° 53.868' S+151° 18.498' E","23° 53.868' S")</f>
        <v>23° 53.868' S</v>
      </c>
      <c r="H303" s="7" t="str">
        <f>HYPERLINK("https://www.google.com.au/maps/place/23° 53.868' S+151° 18.498' E","151° 18.498' E")</f>
        <v>151° 18.498' E</v>
      </c>
      <c r="I303" s="6" t="s">
        <v>101</v>
      </c>
      <c r="J303" s="6" t="s">
        <v>38</v>
      </c>
      <c r="K303" s="6" t="s">
        <v>39</v>
      </c>
      <c r="L303" s="6" t="s">
        <v>40</v>
      </c>
      <c r="M303" s="6" t="s">
        <v>41</v>
      </c>
      <c r="N303" s="6" t="s">
        <v>364</v>
      </c>
      <c r="O303" s="6" t="s">
        <v>103</v>
      </c>
      <c r="P303" s="8" t="s">
        <v>1013</v>
      </c>
      <c r="Q303" s="1" t="s">
        <v>33</v>
      </c>
    </row>
    <row r="304" spans="2:17" ht="33.75" x14ac:dyDescent="0.2">
      <c r="B304" s="6" t="s">
        <v>1010</v>
      </c>
      <c r="C304" s="6" t="s">
        <v>1014</v>
      </c>
      <c r="D304" s="6" t="s">
        <v>36</v>
      </c>
      <c r="E304" s="6" t="s">
        <v>37</v>
      </c>
      <c r="F304" s="6" t="s">
        <v>1015</v>
      </c>
      <c r="G304" s="7" t="str">
        <f>HYPERLINK("https://www.google.com.au/maps/place/27° 27.732' S+153° 5.028' E","27° 27.732' S")</f>
        <v>27° 27.732' S</v>
      </c>
      <c r="H304" s="7" t="str">
        <f>HYPERLINK("https://www.google.com.au/maps/place/27° 27.732' S+153° 5.028' E","153° 5.028' E")</f>
        <v>153° 5.028' E</v>
      </c>
      <c r="I304" s="6" t="s">
        <v>101</v>
      </c>
      <c r="J304" s="6" t="s">
        <v>38</v>
      </c>
      <c r="K304" s="6" t="s">
        <v>39</v>
      </c>
      <c r="L304" s="6" t="s">
        <v>40</v>
      </c>
      <c r="M304" s="6" t="s">
        <v>41</v>
      </c>
      <c r="N304" s="6" t="s">
        <v>62</v>
      </c>
      <c r="O304" s="6" t="s">
        <v>43</v>
      </c>
      <c r="P304" s="8" t="s">
        <v>1016</v>
      </c>
      <c r="Q304" s="1" t="s">
        <v>33</v>
      </c>
    </row>
    <row r="305" spans="2:17" ht="33.75" x14ac:dyDescent="0.2">
      <c r="B305" s="6" t="s">
        <v>1010</v>
      </c>
      <c r="C305" s="6" t="s">
        <v>1017</v>
      </c>
      <c r="D305" s="6" t="s">
        <v>36</v>
      </c>
      <c r="E305" s="6" t="s">
        <v>37</v>
      </c>
      <c r="F305" s="6" t="s">
        <v>1018</v>
      </c>
      <c r="G305" s="7" t="str">
        <f>HYPERLINK("https://www.google.com.au/maps/place/33° 52.77' S+151° 10.848' E","33° 52.77' S")</f>
        <v>33° 52.77' S</v>
      </c>
      <c r="H305" s="7" t="str">
        <f>HYPERLINK("https://www.google.com.au/maps/place/33° 52.77' S+151° 10.848' E","151° 10.848' E")</f>
        <v>151° 10.848' E</v>
      </c>
      <c r="I305" s="6" t="s">
        <v>25</v>
      </c>
      <c r="J305" s="6" t="s">
        <v>38</v>
      </c>
      <c r="K305" s="6" t="s">
        <v>39</v>
      </c>
      <c r="L305" s="6" t="s">
        <v>40</v>
      </c>
      <c r="M305" s="6" t="s">
        <v>41</v>
      </c>
      <c r="N305" s="6" t="s">
        <v>62</v>
      </c>
      <c r="O305" s="6" t="s">
        <v>43</v>
      </c>
      <c r="P305" s="8" t="s">
        <v>1019</v>
      </c>
      <c r="Q305" s="1" t="s">
        <v>33</v>
      </c>
    </row>
    <row r="306" spans="2:17" ht="56.25" x14ac:dyDescent="0.2">
      <c r="B306" s="6" t="s">
        <v>1020</v>
      </c>
      <c r="C306" s="6" t="s">
        <v>1021</v>
      </c>
      <c r="D306" s="6" t="s">
        <v>36</v>
      </c>
      <c r="E306" s="6" t="s">
        <v>37</v>
      </c>
      <c r="F306" s="6" t="s">
        <v>1022</v>
      </c>
      <c r="G306" s="7" t="str">
        <f>HYPERLINK("https://www.google.com.au/maps/place/34° 11.418' S+150° 8.07' E","34° 11.418' S")</f>
        <v>34° 11.418' S</v>
      </c>
      <c r="H306" s="7" t="str">
        <f>HYPERLINK("https://www.google.com.au/maps/place/34° 11.418' S+150° 8.07' E","150° 8.07' E")</f>
        <v>150° 8.07' E</v>
      </c>
      <c r="I306" s="6" t="s">
        <v>25</v>
      </c>
      <c r="J306" s="6" t="s">
        <v>137</v>
      </c>
      <c r="K306" s="6" t="s">
        <v>1023</v>
      </c>
      <c r="L306" s="6" t="s">
        <v>28</v>
      </c>
      <c r="M306" s="6" t="s">
        <v>29</v>
      </c>
      <c r="N306" s="6" t="s">
        <v>86</v>
      </c>
      <c r="O306" s="6" t="s">
        <v>297</v>
      </c>
      <c r="P306" s="8" t="s">
        <v>1024</v>
      </c>
      <c r="Q306" s="1" t="s">
        <v>33</v>
      </c>
    </row>
    <row r="307" spans="2:17" ht="56.25" x14ac:dyDescent="0.2">
      <c r="B307" s="6" t="s">
        <v>1025</v>
      </c>
      <c r="C307" s="6" t="s">
        <v>1026</v>
      </c>
      <c r="D307" s="6" t="s">
        <v>36</v>
      </c>
      <c r="E307" s="6" t="s">
        <v>37</v>
      </c>
      <c r="F307" s="6" t="s">
        <v>24</v>
      </c>
      <c r="G307" s="7" t="str">
        <f>HYPERLINK("https://www.google.com.au/maps/place/33° 56.772' S+151° 10.632' E","33° 56.772' S")</f>
        <v>33° 56.772' S</v>
      </c>
      <c r="H307" s="7" t="str">
        <f>HYPERLINK("https://www.google.com.au/maps/place/33° 56.772' S+151° 10.632' E","151° 10.632' E")</f>
        <v>151° 10.632' E</v>
      </c>
      <c r="I307" s="6" t="s">
        <v>25</v>
      </c>
      <c r="J307" s="6" t="s">
        <v>137</v>
      </c>
      <c r="K307" s="6" t="s">
        <v>138</v>
      </c>
      <c r="L307" s="6" t="s">
        <v>28</v>
      </c>
      <c r="M307" s="6" t="s">
        <v>29</v>
      </c>
      <c r="N307" s="6" t="s">
        <v>86</v>
      </c>
      <c r="O307" s="6" t="s">
        <v>31</v>
      </c>
      <c r="P307" s="8" t="s">
        <v>1027</v>
      </c>
      <c r="Q307" s="1" t="s">
        <v>33</v>
      </c>
    </row>
    <row r="308" spans="2:17" ht="33.75" x14ac:dyDescent="0.2">
      <c r="B308" s="6" t="s">
        <v>1028</v>
      </c>
      <c r="C308" s="6" t="s">
        <v>1029</v>
      </c>
      <c r="D308" s="6" t="s">
        <v>36</v>
      </c>
      <c r="E308" s="6" t="s">
        <v>37</v>
      </c>
      <c r="F308" s="6" t="s">
        <v>1030</v>
      </c>
      <c r="G308" s="7" t="str">
        <f>HYPERLINK("https://www.google.com.au/maps/place/23° 34.05' S+148° 10.752' E","23° 34.05' S")</f>
        <v>23° 34.05' S</v>
      </c>
      <c r="H308" s="7" t="str">
        <f>HYPERLINK("https://www.google.com.au/maps/place/23° 34.05' S+148° 10.752' E","148° 10.752' E")</f>
        <v>148° 10.752' E</v>
      </c>
      <c r="I308" s="6" t="s">
        <v>101</v>
      </c>
      <c r="J308" s="6" t="s">
        <v>38</v>
      </c>
      <c r="K308" s="6" t="s">
        <v>39</v>
      </c>
      <c r="L308" s="6" t="s">
        <v>40</v>
      </c>
      <c r="M308" s="6" t="s">
        <v>41</v>
      </c>
      <c r="N308" s="6" t="s">
        <v>102</v>
      </c>
      <c r="O308" s="6" t="s">
        <v>103</v>
      </c>
      <c r="P308" s="8" t="s">
        <v>1031</v>
      </c>
      <c r="Q308" s="1" t="s">
        <v>33</v>
      </c>
    </row>
    <row r="309" spans="2:17" ht="33.75" x14ac:dyDescent="0.2">
      <c r="B309" s="6" t="s">
        <v>1032</v>
      </c>
      <c r="C309" s="6" t="s">
        <v>1033</v>
      </c>
      <c r="D309" s="6" t="s">
        <v>36</v>
      </c>
      <c r="E309" s="6" t="s">
        <v>37</v>
      </c>
      <c r="F309" s="6" t="s">
        <v>346</v>
      </c>
      <c r="G309" s="7" t="str">
        <f>HYPERLINK("https://www.google.com.au/maps/place/27° 23.052' S+153° 7.05' E","27° 23.052' S")</f>
        <v>27° 23.052' S</v>
      </c>
      <c r="H309" s="7" t="str">
        <f>HYPERLINK("https://www.google.com.au/maps/place/27° 23.052' S+153° 7.05' E","153° 7.05' E")</f>
        <v>153° 7.05' E</v>
      </c>
      <c r="I309" s="6" t="s">
        <v>101</v>
      </c>
      <c r="J309" s="6" t="s">
        <v>38</v>
      </c>
      <c r="K309" s="6" t="s">
        <v>39</v>
      </c>
      <c r="L309" s="6" t="s">
        <v>40</v>
      </c>
      <c r="M309" s="6" t="s">
        <v>41</v>
      </c>
      <c r="N309" s="6" t="s">
        <v>62</v>
      </c>
      <c r="O309" s="6" t="s">
        <v>43</v>
      </c>
      <c r="P309" s="8" t="s">
        <v>1034</v>
      </c>
      <c r="Q309" s="1" t="s">
        <v>33</v>
      </c>
    </row>
    <row r="310" spans="2:17" ht="33.75" x14ac:dyDescent="0.2">
      <c r="B310" s="6" t="s">
        <v>1035</v>
      </c>
      <c r="C310" s="6" t="s">
        <v>1036</v>
      </c>
      <c r="D310" s="6" t="s">
        <v>36</v>
      </c>
      <c r="E310" s="6" t="s">
        <v>37</v>
      </c>
      <c r="F310" s="6" t="s">
        <v>582</v>
      </c>
      <c r="G310" s="7" t="str">
        <f>HYPERLINK("https://www.google.com.au/maps/place/23° 52.182' S+151° 13.368' E","23° 52.182' S")</f>
        <v>23° 52.182' S</v>
      </c>
      <c r="H310" s="7" t="str">
        <f>HYPERLINK("https://www.google.com.au/maps/place/23° 52.182' S+151° 13.368' E","151° 13.368' E")</f>
        <v>151° 13.368' E</v>
      </c>
      <c r="I310" s="6" t="s">
        <v>101</v>
      </c>
      <c r="J310" s="6" t="s">
        <v>38</v>
      </c>
      <c r="K310" s="6" t="s">
        <v>39</v>
      </c>
      <c r="L310" s="6" t="s">
        <v>40</v>
      </c>
      <c r="M310" s="6" t="s">
        <v>41</v>
      </c>
      <c r="N310" s="6" t="s">
        <v>102</v>
      </c>
      <c r="O310" s="6" t="s">
        <v>103</v>
      </c>
      <c r="P310" s="8" t="s">
        <v>1037</v>
      </c>
      <c r="Q310" s="1" t="s">
        <v>33</v>
      </c>
    </row>
    <row r="311" spans="2:17" ht="33.75" x14ac:dyDescent="0.2">
      <c r="B311" s="6" t="s">
        <v>1038</v>
      </c>
      <c r="C311" s="6" t="s">
        <v>1039</v>
      </c>
      <c r="D311" s="6" t="s">
        <v>36</v>
      </c>
      <c r="E311" s="6" t="s">
        <v>37</v>
      </c>
      <c r="F311" s="6" t="s">
        <v>582</v>
      </c>
      <c r="G311" s="7" t="str">
        <f>HYPERLINK("https://www.google.com.au/maps/place/23° 52.182' S+151° 13.368' E","23° 52.182' S")</f>
        <v>23° 52.182' S</v>
      </c>
      <c r="H311" s="7" t="str">
        <f>HYPERLINK("https://www.google.com.au/maps/place/23° 52.182' S+151° 13.368' E","151° 13.368' E")</f>
        <v>151° 13.368' E</v>
      </c>
      <c r="I311" s="6" t="s">
        <v>101</v>
      </c>
      <c r="J311" s="6" t="s">
        <v>38</v>
      </c>
      <c r="K311" s="6" t="s">
        <v>39</v>
      </c>
      <c r="L311" s="6" t="s">
        <v>40</v>
      </c>
      <c r="M311" s="6" t="s">
        <v>41</v>
      </c>
      <c r="N311" s="6" t="s">
        <v>237</v>
      </c>
      <c r="O311" s="6" t="s">
        <v>237</v>
      </c>
      <c r="P311" s="8" t="s">
        <v>1040</v>
      </c>
      <c r="Q311" s="1" t="s">
        <v>33</v>
      </c>
    </row>
    <row r="312" spans="2:17" ht="33.75" x14ac:dyDescent="0.2">
      <c r="B312" s="6" t="s">
        <v>1041</v>
      </c>
      <c r="C312" s="6" t="s">
        <v>1042</v>
      </c>
      <c r="D312" s="6" t="s">
        <v>36</v>
      </c>
      <c r="E312" s="6" t="s">
        <v>37</v>
      </c>
      <c r="F312" s="6" t="s">
        <v>346</v>
      </c>
      <c r="G312" s="7" t="str">
        <f>HYPERLINK("https://www.google.com.au/maps/place/27° 23.052' S+153° 7.05' E","27° 23.052' S")</f>
        <v>27° 23.052' S</v>
      </c>
      <c r="H312" s="7" t="str">
        <f>HYPERLINK("https://www.google.com.au/maps/place/27° 23.052' S+153° 7.05' E","153° 7.05' E")</f>
        <v>153° 7.05' E</v>
      </c>
      <c r="I312" s="6" t="s">
        <v>101</v>
      </c>
      <c r="J312" s="6" t="s">
        <v>38</v>
      </c>
      <c r="K312" s="6" t="s">
        <v>39</v>
      </c>
      <c r="L312" s="6" t="s">
        <v>40</v>
      </c>
      <c r="M312" s="6" t="s">
        <v>41</v>
      </c>
      <c r="N312" s="6" t="s">
        <v>62</v>
      </c>
      <c r="O312" s="6" t="s">
        <v>43</v>
      </c>
      <c r="P312" s="8" t="s">
        <v>962</v>
      </c>
      <c r="Q312" s="1" t="s">
        <v>33</v>
      </c>
    </row>
    <row r="313" spans="2:17" ht="33.75" x14ac:dyDescent="0.2">
      <c r="B313" s="6" t="s">
        <v>1043</v>
      </c>
      <c r="C313" s="6" t="s">
        <v>1044</v>
      </c>
      <c r="D313" s="6" t="s">
        <v>36</v>
      </c>
      <c r="E313" s="6" t="s">
        <v>37</v>
      </c>
      <c r="F313" s="6" t="s">
        <v>503</v>
      </c>
      <c r="G313" s="7" t="str">
        <f>HYPERLINK("https://www.google.com.au/maps/place/22° 3.468' S+148° 4.65' E","22° 3.468' S")</f>
        <v>22° 3.468' S</v>
      </c>
      <c r="H313" s="7" t="str">
        <f>HYPERLINK("https://www.google.com.au/maps/place/22° 3.468' S+148° 4.65' E","148° 4.65' E")</f>
        <v>148° 4.65' E</v>
      </c>
      <c r="I313" s="6" t="s">
        <v>101</v>
      </c>
      <c r="J313" s="6" t="s">
        <v>38</v>
      </c>
      <c r="K313" s="6" t="s">
        <v>39</v>
      </c>
      <c r="L313" s="6" t="s">
        <v>40</v>
      </c>
      <c r="M313" s="6" t="s">
        <v>41</v>
      </c>
      <c r="N313" s="6" t="s">
        <v>102</v>
      </c>
      <c r="O313" s="6" t="s">
        <v>103</v>
      </c>
      <c r="P313" s="8" t="s">
        <v>1045</v>
      </c>
      <c r="Q313" s="1" t="s">
        <v>33</v>
      </c>
    </row>
    <row r="314" spans="2:17" ht="33.75" x14ac:dyDescent="0.2">
      <c r="B314" s="6" t="s">
        <v>1046</v>
      </c>
      <c r="C314" s="6" t="s">
        <v>1047</v>
      </c>
      <c r="D314" s="6" t="s">
        <v>36</v>
      </c>
      <c r="E314" s="6" t="s">
        <v>37</v>
      </c>
      <c r="F314" s="6" t="s">
        <v>346</v>
      </c>
      <c r="G314" s="7" t="str">
        <f>HYPERLINK("https://www.google.com.au/maps/place/27° 23.052' S+153° 7.05' E","27° 23.052' S")</f>
        <v>27° 23.052' S</v>
      </c>
      <c r="H314" s="7" t="str">
        <f>HYPERLINK("https://www.google.com.au/maps/place/27° 23.052' S+153° 7.05' E","153° 7.05' E")</f>
        <v>153° 7.05' E</v>
      </c>
      <c r="I314" s="6" t="s">
        <v>101</v>
      </c>
      <c r="J314" s="6" t="s">
        <v>38</v>
      </c>
      <c r="K314" s="6" t="s">
        <v>39</v>
      </c>
      <c r="L314" s="6" t="s">
        <v>40</v>
      </c>
      <c r="M314" s="6" t="s">
        <v>41</v>
      </c>
      <c r="N314" s="6" t="s">
        <v>62</v>
      </c>
      <c r="O314" s="6" t="s">
        <v>43</v>
      </c>
      <c r="P314" s="8" t="s">
        <v>1048</v>
      </c>
      <c r="Q314" s="1" t="s">
        <v>33</v>
      </c>
    </row>
    <row r="315" spans="2:17" ht="56.25" x14ac:dyDescent="0.2">
      <c r="B315" s="6" t="s">
        <v>1049</v>
      </c>
      <c r="C315" s="6" t="s">
        <v>1050</v>
      </c>
      <c r="D315" s="6" t="s">
        <v>36</v>
      </c>
      <c r="E315" s="6" t="s">
        <v>37</v>
      </c>
      <c r="F315" s="6" t="s">
        <v>346</v>
      </c>
      <c r="G315" s="7" t="str">
        <f>HYPERLINK("https://www.google.com.au/maps/place/27° 23.052' S+153° 7.05' E","27° 23.052' S")</f>
        <v>27° 23.052' S</v>
      </c>
      <c r="H315" s="7" t="str">
        <f>HYPERLINK("https://www.google.com.au/maps/place/27° 23.052' S+153° 7.05' E","153° 7.05' E")</f>
        <v>153° 7.05' E</v>
      </c>
      <c r="I315" s="6" t="s">
        <v>101</v>
      </c>
      <c r="J315" s="6" t="s">
        <v>295</v>
      </c>
      <c r="K315" s="6" t="s">
        <v>296</v>
      </c>
      <c r="L315" s="6" t="s">
        <v>28</v>
      </c>
      <c r="M315" s="6" t="s">
        <v>29</v>
      </c>
      <c r="N315" s="6" t="s">
        <v>128</v>
      </c>
      <c r="O315" s="6" t="s">
        <v>31</v>
      </c>
      <c r="P315" s="8" t="s">
        <v>1051</v>
      </c>
      <c r="Q315" s="1" t="s">
        <v>33</v>
      </c>
    </row>
    <row r="316" spans="2:17" ht="33.75" x14ac:dyDescent="0.2">
      <c r="B316" s="6" t="s">
        <v>1052</v>
      </c>
      <c r="C316" s="6" t="s">
        <v>1053</v>
      </c>
      <c r="D316" s="6" t="s">
        <v>36</v>
      </c>
      <c r="E316" s="6" t="s">
        <v>37</v>
      </c>
      <c r="F316" s="6" t="s">
        <v>582</v>
      </c>
      <c r="G316" s="7" t="str">
        <f>HYPERLINK("https://www.google.com.au/maps/place/23° 52.182' S+151° 13.368' E","23° 52.182' S")</f>
        <v>23° 52.182' S</v>
      </c>
      <c r="H316" s="7" t="str">
        <f>HYPERLINK("https://www.google.com.au/maps/place/23° 52.182' S+151° 13.368' E","151° 13.368' E")</f>
        <v>151° 13.368' E</v>
      </c>
      <c r="I316" s="6" t="s">
        <v>101</v>
      </c>
      <c r="J316" s="6" t="s">
        <v>38</v>
      </c>
      <c r="K316" s="6" t="s">
        <v>39</v>
      </c>
      <c r="L316" s="6" t="s">
        <v>40</v>
      </c>
      <c r="M316" s="6" t="s">
        <v>41</v>
      </c>
      <c r="N316" s="6" t="s">
        <v>102</v>
      </c>
      <c r="O316" s="6" t="s">
        <v>103</v>
      </c>
      <c r="P316" s="8" t="s">
        <v>1054</v>
      </c>
      <c r="Q316" s="1" t="s">
        <v>33</v>
      </c>
    </row>
    <row r="317" spans="2:17" ht="33.75" x14ac:dyDescent="0.2">
      <c r="B317" s="6" t="s">
        <v>1055</v>
      </c>
      <c r="C317" s="6" t="s">
        <v>1056</v>
      </c>
      <c r="D317" s="6" t="s">
        <v>36</v>
      </c>
      <c r="E317" s="6" t="s">
        <v>37</v>
      </c>
      <c r="F317" s="6" t="s">
        <v>555</v>
      </c>
      <c r="G317" s="7" t="str">
        <f>HYPERLINK("https://www.google.com.au/maps/place/27° 23.052' S+153° 7.05' E","27° 23.052' S")</f>
        <v>27° 23.052' S</v>
      </c>
      <c r="H317" s="7" t="str">
        <f>HYPERLINK("https://www.google.com.au/maps/place/27° 23.052' S+153° 7.05' E","153° 7.05' E")</f>
        <v>153° 7.05' E</v>
      </c>
      <c r="I317" s="6" t="s">
        <v>101</v>
      </c>
      <c r="J317" s="6" t="s">
        <v>38</v>
      </c>
      <c r="K317" s="6" t="s">
        <v>39</v>
      </c>
      <c r="L317" s="6" t="s">
        <v>40</v>
      </c>
      <c r="M317" s="6" t="s">
        <v>41</v>
      </c>
      <c r="N317" s="6" t="s">
        <v>42</v>
      </c>
      <c r="O317" s="6" t="s">
        <v>43</v>
      </c>
      <c r="P317" s="8" t="s">
        <v>1057</v>
      </c>
      <c r="Q317" s="1" t="s">
        <v>33</v>
      </c>
    </row>
    <row r="318" spans="2:17" ht="33.75" x14ac:dyDescent="0.2">
      <c r="B318" s="6" t="s">
        <v>1058</v>
      </c>
      <c r="C318" s="6" t="s">
        <v>1059</v>
      </c>
      <c r="D318" s="6" t="s">
        <v>36</v>
      </c>
      <c r="E318" s="6" t="s">
        <v>37</v>
      </c>
      <c r="F318" s="6" t="s">
        <v>24</v>
      </c>
      <c r="G318" s="7" t="str">
        <f>HYPERLINK("https://www.google.com.au/maps/place/33° 56.772' S+151° 10.632' E","33° 56.772' S")</f>
        <v>33° 56.772' S</v>
      </c>
      <c r="H318" s="7" t="str">
        <f>HYPERLINK("https://www.google.com.au/maps/place/33° 56.772' S+151° 10.632' E","151° 10.632' E")</f>
        <v>151° 10.632' E</v>
      </c>
      <c r="I318" s="6" t="s">
        <v>25</v>
      </c>
      <c r="J318" s="6" t="s">
        <v>38</v>
      </c>
      <c r="K318" s="6" t="s">
        <v>39</v>
      </c>
      <c r="L318" s="6" t="s">
        <v>40</v>
      </c>
      <c r="M318" s="6" t="s">
        <v>41</v>
      </c>
      <c r="N318" s="6" t="s">
        <v>62</v>
      </c>
      <c r="O318" s="6" t="s">
        <v>43</v>
      </c>
      <c r="P318" s="8" t="s">
        <v>1060</v>
      </c>
      <c r="Q318" s="1" t="s">
        <v>33</v>
      </c>
    </row>
    <row r="319" spans="2:17" ht="33.75" x14ac:dyDescent="0.2">
      <c r="B319" s="6" t="s">
        <v>1061</v>
      </c>
      <c r="C319" s="6" t="s">
        <v>1062</v>
      </c>
      <c r="D319" s="6" t="s">
        <v>36</v>
      </c>
      <c r="E319" s="6" t="s">
        <v>37</v>
      </c>
      <c r="F319" s="6" t="s">
        <v>635</v>
      </c>
      <c r="G319" s="7" t="str">
        <f>HYPERLINK("https://www.google.com.au/maps/place/23° 34.05' S+148° 10.752' E","23° 34.05' S")</f>
        <v>23° 34.05' S</v>
      </c>
      <c r="H319" s="7" t="str">
        <f>HYPERLINK("https://www.google.com.au/maps/place/23° 34.05' S+148° 10.752' E","148° 10.752' E")</f>
        <v>148° 10.752' E</v>
      </c>
      <c r="I319" s="6" t="s">
        <v>101</v>
      </c>
      <c r="J319" s="6" t="s">
        <v>38</v>
      </c>
      <c r="K319" s="6" t="s">
        <v>39</v>
      </c>
      <c r="L319" s="6" t="s">
        <v>40</v>
      </c>
      <c r="M319" s="6" t="s">
        <v>41</v>
      </c>
      <c r="N319" s="6" t="s">
        <v>102</v>
      </c>
      <c r="O319" s="6" t="s">
        <v>103</v>
      </c>
      <c r="P319" s="8" t="s">
        <v>1063</v>
      </c>
      <c r="Q319" s="1" t="s">
        <v>33</v>
      </c>
    </row>
    <row r="320" spans="2:17" ht="33.75" x14ac:dyDescent="0.2">
      <c r="B320" s="6" t="s">
        <v>1064</v>
      </c>
      <c r="C320" s="6" t="s">
        <v>1065</v>
      </c>
      <c r="D320" s="6" t="s">
        <v>36</v>
      </c>
      <c r="E320" s="6" t="s">
        <v>37</v>
      </c>
      <c r="F320" s="6" t="s">
        <v>1066</v>
      </c>
      <c r="G320" s="7" t="str">
        <f>HYPERLINK("https://www.google.com.au/maps/place/25° 19.128' S+152° 52.818' E","25° 19.128' S")</f>
        <v>25° 19.128' S</v>
      </c>
      <c r="H320" s="7" t="str">
        <f>HYPERLINK("https://www.google.com.au/maps/place/25° 19.128' S+152° 52.818' E","152° 52.818' E")</f>
        <v>152° 52.818' E</v>
      </c>
      <c r="I320" s="6" t="s">
        <v>101</v>
      </c>
      <c r="J320" s="6" t="s">
        <v>38</v>
      </c>
      <c r="K320" s="6" t="s">
        <v>39</v>
      </c>
      <c r="L320" s="6" t="s">
        <v>40</v>
      </c>
      <c r="M320" s="6" t="s">
        <v>41</v>
      </c>
      <c r="N320" s="6" t="s">
        <v>42</v>
      </c>
      <c r="O320" s="6" t="s">
        <v>302</v>
      </c>
      <c r="P320" s="8" t="s">
        <v>1067</v>
      </c>
      <c r="Q320" s="1" t="s">
        <v>33</v>
      </c>
    </row>
    <row r="321" spans="2:17" ht="33.75" x14ac:dyDescent="0.2">
      <c r="B321" s="6" t="s">
        <v>1068</v>
      </c>
      <c r="C321" s="6" t="s">
        <v>1069</v>
      </c>
      <c r="D321" s="6" t="s">
        <v>36</v>
      </c>
      <c r="E321" s="6" t="s">
        <v>37</v>
      </c>
      <c r="F321" s="6" t="s">
        <v>346</v>
      </c>
      <c r="G321" s="7" t="str">
        <f>HYPERLINK("https://www.google.com.au/maps/place/27° 23.052' S+153° 7.05' E","27° 23.052' S")</f>
        <v>27° 23.052' S</v>
      </c>
      <c r="H321" s="7" t="str">
        <f>HYPERLINK("https://www.google.com.au/maps/place/27° 23.052' S+153° 7.05' E","153° 7.05' E")</f>
        <v>153° 7.05' E</v>
      </c>
      <c r="I321" s="6" t="s">
        <v>101</v>
      </c>
      <c r="J321" s="6" t="s">
        <v>38</v>
      </c>
      <c r="K321" s="6" t="s">
        <v>39</v>
      </c>
      <c r="L321" s="6" t="s">
        <v>40</v>
      </c>
      <c r="M321" s="6" t="s">
        <v>41</v>
      </c>
      <c r="N321" s="6" t="s">
        <v>62</v>
      </c>
      <c r="O321" s="6" t="s">
        <v>43</v>
      </c>
      <c r="P321" s="8" t="s">
        <v>1070</v>
      </c>
      <c r="Q321" s="1" t="s">
        <v>33</v>
      </c>
    </row>
    <row r="322" spans="2:17" ht="33.75" x14ac:dyDescent="0.2">
      <c r="B322" s="6" t="s">
        <v>1071</v>
      </c>
      <c r="C322" s="6" t="s">
        <v>1072</v>
      </c>
      <c r="D322" s="6" t="s">
        <v>36</v>
      </c>
      <c r="E322" s="6" t="s">
        <v>37</v>
      </c>
      <c r="F322" s="6" t="s">
        <v>1073</v>
      </c>
      <c r="G322" s="7" t="str">
        <f>HYPERLINK("https://www.google.com.au/maps/place/25° 48.12' S+149° 53.97' E","25° 48.12' S")</f>
        <v>25° 48.12' S</v>
      </c>
      <c r="H322" s="7" t="str">
        <f>HYPERLINK("https://www.google.com.au/maps/place/25° 48.12' S+149° 53.97' E","149° 53.97' E")</f>
        <v>149° 53.97' E</v>
      </c>
      <c r="I322" s="6" t="s">
        <v>101</v>
      </c>
      <c r="J322" s="6" t="s">
        <v>38</v>
      </c>
      <c r="K322" s="6" t="s">
        <v>39</v>
      </c>
      <c r="L322" s="6" t="s">
        <v>40</v>
      </c>
      <c r="M322" s="6" t="s">
        <v>41</v>
      </c>
      <c r="N322" s="6" t="s">
        <v>42</v>
      </c>
      <c r="O322" s="6" t="s">
        <v>461</v>
      </c>
      <c r="P322" s="8" t="s">
        <v>1074</v>
      </c>
      <c r="Q322" s="1" t="s">
        <v>33</v>
      </c>
    </row>
    <row r="323" spans="2:17" ht="33.75" x14ac:dyDescent="0.2">
      <c r="B323" s="6" t="s">
        <v>1075</v>
      </c>
      <c r="C323" s="6" t="s">
        <v>1076</v>
      </c>
      <c r="D323" s="6" t="s">
        <v>36</v>
      </c>
      <c r="E323" s="6" t="s">
        <v>37</v>
      </c>
      <c r="F323" s="6" t="s">
        <v>346</v>
      </c>
      <c r="G323" s="7" t="str">
        <f>HYPERLINK("https://www.google.com.au/maps/place/27° 23.052' S+153° 7.05' E","27° 23.052' S")</f>
        <v>27° 23.052' S</v>
      </c>
      <c r="H323" s="7" t="str">
        <f>HYPERLINK("https://www.google.com.au/maps/place/27° 23.052' S+153° 7.05' E","153° 7.05' E")</f>
        <v>153° 7.05' E</v>
      </c>
      <c r="I323" s="6" t="s">
        <v>101</v>
      </c>
      <c r="J323" s="6" t="s">
        <v>38</v>
      </c>
      <c r="K323" s="6" t="s">
        <v>39</v>
      </c>
      <c r="L323" s="6" t="s">
        <v>40</v>
      </c>
      <c r="M323" s="6" t="s">
        <v>41</v>
      </c>
      <c r="N323" s="6" t="s">
        <v>62</v>
      </c>
      <c r="O323" s="6" t="s">
        <v>43</v>
      </c>
      <c r="P323" s="8" t="s">
        <v>1077</v>
      </c>
      <c r="Q323" s="1" t="s">
        <v>33</v>
      </c>
    </row>
    <row r="324" spans="2:17" ht="67.5" x14ac:dyDescent="0.2">
      <c r="B324" s="6" t="s">
        <v>1078</v>
      </c>
      <c r="C324" s="6" t="s">
        <v>1079</v>
      </c>
      <c r="D324" s="6" t="s">
        <v>36</v>
      </c>
      <c r="E324" s="6" t="s">
        <v>37</v>
      </c>
      <c r="F324" s="6" t="s">
        <v>346</v>
      </c>
      <c r="G324" s="7" t="str">
        <f>HYPERLINK("https://www.google.com.au/maps/place/27° 23.052' S+153° 7.05' E","27° 23.052' S")</f>
        <v>27° 23.052' S</v>
      </c>
      <c r="H324" s="7" t="str">
        <f>HYPERLINK("https://www.google.com.au/maps/place/27° 23.052' S+153° 7.05' E","153° 7.05' E")</f>
        <v>153° 7.05' E</v>
      </c>
      <c r="I324" s="6" t="s">
        <v>101</v>
      </c>
      <c r="J324" s="6" t="s">
        <v>26</v>
      </c>
      <c r="K324" s="6" t="s">
        <v>85</v>
      </c>
      <c r="L324" s="6" t="s">
        <v>28</v>
      </c>
      <c r="M324" s="6" t="s">
        <v>29</v>
      </c>
      <c r="N324" s="6" t="s">
        <v>128</v>
      </c>
      <c r="O324" s="6" t="s">
        <v>31</v>
      </c>
      <c r="P324" s="8" t="s">
        <v>1080</v>
      </c>
      <c r="Q324" s="1" t="s">
        <v>33</v>
      </c>
    </row>
    <row r="325" spans="2:17" ht="33.75" x14ac:dyDescent="0.2">
      <c r="B325" s="6" t="s">
        <v>1078</v>
      </c>
      <c r="C325" s="6" t="s">
        <v>1081</v>
      </c>
      <c r="D325" s="6" t="s">
        <v>36</v>
      </c>
      <c r="E325" s="6" t="s">
        <v>37</v>
      </c>
      <c r="F325" s="6" t="s">
        <v>555</v>
      </c>
      <c r="G325" s="7" t="str">
        <f>HYPERLINK("https://www.google.com.au/maps/place/27° 23.052' S+153° 7.05' E","27° 23.052' S")</f>
        <v>27° 23.052' S</v>
      </c>
      <c r="H325" s="7" t="str">
        <f>HYPERLINK("https://www.google.com.au/maps/place/27° 23.052' S+153° 7.05' E","153° 7.05' E")</f>
        <v>153° 7.05' E</v>
      </c>
      <c r="I325" s="6" t="s">
        <v>101</v>
      </c>
      <c r="J325" s="6" t="s">
        <v>38</v>
      </c>
      <c r="K325" s="6" t="s">
        <v>39</v>
      </c>
      <c r="L325" s="6" t="s">
        <v>40</v>
      </c>
      <c r="M325" s="6" t="s">
        <v>41</v>
      </c>
      <c r="N325" s="6" t="s">
        <v>42</v>
      </c>
      <c r="O325" s="6" t="s">
        <v>43</v>
      </c>
      <c r="P325" s="8" t="s">
        <v>1082</v>
      </c>
      <c r="Q325" s="1" t="s">
        <v>33</v>
      </c>
    </row>
    <row r="326" spans="2:17" ht="33.75" x14ac:dyDescent="0.2">
      <c r="B326" s="6" t="s">
        <v>1083</v>
      </c>
      <c r="C326" s="6" t="s">
        <v>1084</v>
      </c>
      <c r="D326" s="6" t="s">
        <v>36</v>
      </c>
      <c r="E326" s="6" t="s">
        <v>37</v>
      </c>
      <c r="F326" s="6" t="s">
        <v>635</v>
      </c>
      <c r="G326" s="7" t="str">
        <f>HYPERLINK("https://www.google.com.au/maps/place/23° 34.05' S+148° 10.752' E","23° 34.05' S")</f>
        <v>23° 34.05' S</v>
      </c>
      <c r="H326" s="7" t="str">
        <f>HYPERLINK("https://www.google.com.au/maps/place/23° 34.05' S+148° 10.752' E","148° 10.752' E")</f>
        <v>148° 10.752' E</v>
      </c>
      <c r="I326" s="6" t="s">
        <v>101</v>
      </c>
      <c r="J326" s="6" t="s">
        <v>38</v>
      </c>
      <c r="K326" s="6" t="s">
        <v>39</v>
      </c>
      <c r="L326" s="6" t="s">
        <v>40</v>
      </c>
      <c r="M326" s="6" t="s">
        <v>41</v>
      </c>
      <c r="N326" s="6" t="s">
        <v>42</v>
      </c>
      <c r="O326" s="6" t="s">
        <v>461</v>
      </c>
      <c r="P326" s="8" t="s">
        <v>1085</v>
      </c>
      <c r="Q326" s="1" t="s">
        <v>33</v>
      </c>
    </row>
    <row r="327" spans="2:17" ht="33.75" x14ac:dyDescent="0.2">
      <c r="B327" s="6" t="s">
        <v>1086</v>
      </c>
      <c r="C327" s="6" t="s">
        <v>1087</v>
      </c>
      <c r="D327" s="6" t="s">
        <v>36</v>
      </c>
      <c r="E327" s="6" t="s">
        <v>37</v>
      </c>
      <c r="F327" s="6" t="s">
        <v>346</v>
      </c>
      <c r="G327" s="7" t="str">
        <f>HYPERLINK("https://www.google.com.au/maps/place/27° 23.052' S+153° 7.05' E","27° 23.052' S")</f>
        <v>27° 23.052' S</v>
      </c>
      <c r="H327" s="7" t="str">
        <f>HYPERLINK("https://www.google.com.au/maps/place/27° 23.052' S+153° 7.05' E","153° 7.05' E")</f>
        <v>153° 7.05' E</v>
      </c>
      <c r="I327" s="6" t="s">
        <v>101</v>
      </c>
      <c r="J327" s="6" t="s">
        <v>38</v>
      </c>
      <c r="K327" s="6" t="s">
        <v>39</v>
      </c>
      <c r="L327" s="6" t="s">
        <v>40</v>
      </c>
      <c r="M327" s="6" t="s">
        <v>41</v>
      </c>
      <c r="N327" s="6" t="s">
        <v>62</v>
      </c>
      <c r="O327" s="6" t="s">
        <v>43</v>
      </c>
      <c r="P327" s="8" t="s">
        <v>1088</v>
      </c>
      <c r="Q327" s="1" t="s">
        <v>33</v>
      </c>
    </row>
    <row r="328" spans="2:17" ht="33.75" x14ac:dyDescent="0.2">
      <c r="B328" s="6" t="s">
        <v>1086</v>
      </c>
      <c r="C328" s="6" t="s">
        <v>1089</v>
      </c>
      <c r="D328" s="6" t="s">
        <v>36</v>
      </c>
      <c r="E328" s="6" t="s">
        <v>37</v>
      </c>
      <c r="F328" s="6" t="s">
        <v>405</v>
      </c>
      <c r="G328" s="7" t="str">
        <f>HYPERLINK("https://www.google.com.au/maps/place/23° 22.92' S+150° 28.518' E","23° 22.92' S")</f>
        <v>23° 22.92' S</v>
      </c>
      <c r="H328" s="7" t="str">
        <f>HYPERLINK("https://www.google.com.au/maps/place/23° 22.92' S+150° 28.518' E","150° 28.518' E")</f>
        <v>150° 28.518' E</v>
      </c>
      <c r="I328" s="6" t="s">
        <v>101</v>
      </c>
      <c r="J328" s="6" t="s">
        <v>38</v>
      </c>
      <c r="K328" s="6" t="s">
        <v>39</v>
      </c>
      <c r="L328" s="6" t="s">
        <v>40</v>
      </c>
      <c r="M328" s="6" t="s">
        <v>41</v>
      </c>
      <c r="N328" s="6" t="s">
        <v>62</v>
      </c>
      <c r="O328" s="6" t="s">
        <v>71</v>
      </c>
      <c r="P328" s="8" t="s">
        <v>1090</v>
      </c>
      <c r="Q328" s="1" t="s">
        <v>33</v>
      </c>
    </row>
    <row r="329" spans="2:17" ht="33.75" x14ac:dyDescent="0.2">
      <c r="B329" s="6" t="s">
        <v>1086</v>
      </c>
      <c r="C329" s="6" t="s">
        <v>1091</v>
      </c>
      <c r="D329" s="6" t="s">
        <v>36</v>
      </c>
      <c r="E329" s="6" t="s">
        <v>37</v>
      </c>
      <c r="F329" s="6" t="s">
        <v>24</v>
      </c>
      <c r="G329" s="7" t="str">
        <f>HYPERLINK("https://www.google.com.au/maps/place/33° 56.772' S+151° 10.632' E","33° 56.772' S")</f>
        <v>33° 56.772' S</v>
      </c>
      <c r="H329" s="7" t="str">
        <f>HYPERLINK("https://www.google.com.au/maps/place/33° 56.772' S+151° 10.632' E","151° 10.632' E")</f>
        <v>151° 10.632' E</v>
      </c>
      <c r="I329" s="6" t="s">
        <v>25</v>
      </c>
      <c r="J329" s="6" t="s">
        <v>38</v>
      </c>
      <c r="K329" s="6" t="s">
        <v>39</v>
      </c>
      <c r="L329" s="6" t="s">
        <v>40</v>
      </c>
      <c r="M329" s="6" t="s">
        <v>41</v>
      </c>
      <c r="N329" s="6" t="s">
        <v>42</v>
      </c>
      <c r="O329" s="6" t="s">
        <v>43</v>
      </c>
      <c r="P329" s="8" t="s">
        <v>1092</v>
      </c>
      <c r="Q329" s="1" t="s">
        <v>33</v>
      </c>
    </row>
    <row r="330" spans="2:17" ht="33.75" x14ac:dyDescent="0.2">
      <c r="B330" s="6" t="s">
        <v>1086</v>
      </c>
      <c r="C330" s="6" t="s">
        <v>1093</v>
      </c>
      <c r="D330" s="6" t="s">
        <v>36</v>
      </c>
      <c r="E330" s="6" t="s">
        <v>37</v>
      </c>
      <c r="F330" s="6" t="s">
        <v>24</v>
      </c>
      <c r="G330" s="7" t="str">
        <f>HYPERLINK("https://www.google.com.au/maps/place/33° 56.772' S+151° 10.632' E","33° 56.772' S")</f>
        <v>33° 56.772' S</v>
      </c>
      <c r="H330" s="7" t="str">
        <f>HYPERLINK("https://www.google.com.au/maps/place/33° 56.772' S+151° 10.632' E","151° 10.632' E")</f>
        <v>151° 10.632' E</v>
      </c>
      <c r="I330" s="6" t="s">
        <v>25</v>
      </c>
      <c r="J330" s="6" t="s">
        <v>38</v>
      </c>
      <c r="K330" s="6" t="s">
        <v>39</v>
      </c>
      <c r="L330" s="6" t="s">
        <v>40</v>
      </c>
      <c r="M330" s="6" t="s">
        <v>41</v>
      </c>
      <c r="N330" s="6" t="s">
        <v>42</v>
      </c>
      <c r="O330" s="6" t="s">
        <v>43</v>
      </c>
      <c r="P330" s="8" t="s">
        <v>1094</v>
      </c>
      <c r="Q330" s="1" t="s">
        <v>33</v>
      </c>
    </row>
    <row r="331" spans="2:17" ht="33.75" x14ac:dyDescent="0.2">
      <c r="B331" s="6" t="s">
        <v>1095</v>
      </c>
      <c r="C331" s="6" t="s">
        <v>1096</v>
      </c>
      <c r="D331" s="6" t="s">
        <v>36</v>
      </c>
      <c r="E331" s="6" t="s">
        <v>37</v>
      </c>
      <c r="F331" s="6" t="s">
        <v>582</v>
      </c>
      <c r="G331" s="7" t="str">
        <f>HYPERLINK("https://www.google.com.au/maps/place/23° 52.182' S+151° 13.368' E","23° 52.182' S")</f>
        <v>23° 52.182' S</v>
      </c>
      <c r="H331" s="7" t="str">
        <f>HYPERLINK("https://www.google.com.au/maps/place/23° 52.182' S+151° 13.368' E","151° 13.368' E")</f>
        <v>151° 13.368' E</v>
      </c>
      <c r="I331" s="6" t="s">
        <v>101</v>
      </c>
      <c r="J331" s="6" t="s">
        <v>38</v>
      </c>
      <c r="K331" s="6" t="s">
        <v>39</v>
      </c>
      <c r="L331" s="6" t="s">
        <v>40</v>
      </c>
      <c r="M331" s="6" t="s">
        <v>41</v>
      </c>
      <c r="N331" s="6" t="s">
        <v>102</v>
      </c>
      <c r="O331" s="6" t="s">
        <v>103</v>
      </c>
      <c r="P331" s="8" t="s">
        <v>1097</v>
      </c>
      <c r="Q331" s="1" t="s">
        <v>33</v>
      </c>
    </row>
    <row r="332" spans="2:17" ht="45" x14ac:dyDescent="0.2">
      <c r="B332" s="6" t="s">
        <v>1098</v>
      </c>
      <c r="C332" s="6" t="s">
        <v>1099</v>
      </c>
      <c r="D332" s="6" t="s">
        <v>36</v>
      </c>
      <c r="E332" s="6" t="s">
        <v>37</v>
      </c>
      <c r="F332" s="6" t="s">
        <v>635</v>
      </c>
      <c r="G332" s="7" t="str">
        <f>HYPERLINK("https://www.google.com.au/maps/place/23° 34.05' S+148° 10.752' E","23° 34.05' S")</f>
        <v>23° 34.05' S</v>
      </c>
      <c r="H332" s="7" t="str">
        <f>HYPERLINK("https://www.google.com.au/maps/place/23° 34.05' S+148° 10.752' E","148° 10.752' E")</f>
        <v>148° 10.752' E</v>
      </c>
      <c r="I332" s="6" t="s">
        <v>101</v>
      </c>
      <c r="J332" s="6" t="s">
        <v>38</v>
      </c>
      <c r="K332" s="6" t="s">
        <v>39</v>
      </c>
      <c r="L332" s="6" t="s">
        <v>40</v>
      </c>
      <c r="M332" s="6" t="s">
        <v>41</v>
      </c>
      <c r="N332" s="6" t="s">
        <v>102</v>
      </c>
      <c r="O332" s="6" t="s">
        <v>103</v>
      </c>
      <c r="P332" s="8" t="s">
        <v>1100</v>
      </c>
      <c r="Q332" s="1" t="s">
        <v>33</v>
      </c>
    </row>
    <row r="333" spans="2:17" ht="33.75" x14ac:dyDescent="0.2">
      <c r="B333" s="6" t="s">
        <v>1101</v>
      </c>
      <c r="C333" s="6" t="s">
        <v>1102</v>
      </c>
      <c r="D333" s="6" t="s">
        <v>36</v>
      </c>
      <c r="E333" s="6" t="s">
        <v>37</v>
      </c>
      <c r="F333" s="6" t="s">
        <v>1103</v>
      </c>
      <c r="G333" s="7" t="str">
        <f>HYPERLINK("https://www.google.com.au/maps/place/23° 28.872' S+150° 27.468' E","23° 28.872' S")</f>
        <v>23° 28.872' S</v>
      </c>
      <c r="H333" s="7" t="str">
        <f>HYPERLINK("https://www.google.com.au/maps/place/23° 28.872' S+150° 27.468' E","150° 27.468' E")</f>
        <v>150° 27.468' E</v>
      </c>
      <c r="I333" s="6" t="s">
        <v>101</v>
      </c>
      <c r="J333" s="6" t="s">
        <v>38</v>
      </c>
      <c r="K333" s="6" t="s">
        <v>39</v>
      </c>
      <c r="L333" s="6" t="s">
        <v>40</v>
      </c>
      <c r="M333" s="6" t="s">
        <v>41</v>
      </c>
      <c r="N333" s="6" t="s">
        <v>62</v>
      </c>
      <c r="O333" s="6" t="s">
        <v>71</v>
      </c>
      <c r="P333" s="8" t="s">
        <v>1104</v>
      </c>
      <c r="Q333" s="1" t="s">
        <v>33</v>
      </c>
    </row>
    <row r="334" spans="2:17" ht="33.75" x14ac:dyDescent="0.2">
      <c r="B334" s="6" t="s">
        <v>1105</v>
      </c>
      <c r="C334" s="6" t="s">
        <v>1106</v>
      </c>
      <c r="D334" s="6" t="s">
        <v>36</v>
      </c>
      <c r="E334" s="6" t="s">
        <v>37</v>
      </c>
      <c r="F334" s="6" t="s">
        <v>90</v>
      </c>
      <c r="G334" s="7" t="str">
        <f>HYPERLINK("https://www.google.com.au/maps/place/36° 4.068' S+146° 57.48' E","36° 4.068' S")</f>
        <v>36° 4.068' S</v>
      </c>
      <c r="H334" s="7" t="str">
        <f>HYPERLINK("https://www.google.com.au/maps/place/36° 4.068' S+146° 57.48' E","146° 57.48' E")</f>
        <v>146° 57.48' E</v>
      </c>
      <c r="I334" s="6" t="s">
        <v>25</v>
      </c>
      <c r="J334" s="6" t="s">
        <v>38</v>
      </c>
      <c r="K334" s="6" t="s">
        <v>39</v>
      </c>
      <c r="L334" s="6" t="s">
        <v>40</v>
      </c>
      <c r="M334" s="6" t="s">
        <v>41</v>
      </c>
      <c r="N334" s="6" t="s">
        <v>62</v>
      </c>
      <c r="O334" s="6" t="s">
        <v>71</v>
      </c>
      <c r="P334" s="8" t="s">
        <v>1107</v>
      </c>
      <c r="Q334" s="1" t="s">
        <v>33</v>
      </c>
    </row>
    <row r="335" spans="2:17" ht="33.75" x14ac:dyDescent="0.2">
      <c r="B335" s="6" t="s">
        <v>1108</v>
      </c>
      <c r="C335" s="6" t="s">
        <v>1109</v>
      </c>
      <c r="D335" s="6" t="s">
        <v>36</v>
      </c>
      <c r="E335" s="6" t="s">
        <v>37</v>
      </c>
      <c r="F335" s="6" t="s">
        <v>555</v>
      </c>
      <c r="G335" s="7" t="str">
        <f>HYPERLINK("https://www.google.com.au/maps/place/27° 23.052' S+153° 7.05' E","27° 23.052' S")</f>
        <v>27° 23.052' S</v>
      </c>
      <c r="H335" s="7" t="str">
        <f>HYPERLINK("https://www.google.com.au/maps/place/27° 23.052' S+153° 7.05' E","153° 7.05' E")</f>
        <v>153° 7.05' E</v>
      </c>
      <c r="I335" s="6" t="s">
        <v>101</v>
      </c>
      <c r="J335" s="6" t="s">
        <v>38</v>
      </c>
      <c r="K335" s="6" t="s">
        <v>39</v>
      </c>
      <c r="L335" s="6" t="s">
        <v>40</v>
      </c>
      <c r="M335" s="6" t="s">
        <v>41</v>
      </c>
      <c r="N335" s="6" t="s">
        <v>42</v>
      </c>
      <c r="O335" s="6" t="s">
        <v>43</v>
      </c>
      <c r="P335" s="8" t="s">
        <v>1110</v>
      </c>
      <c r="Q335" s="1" t="s">
        <v>33</v>
      </c>
    </row>
    <row r="336" spans="2:17" ht="33.75" x14ac:dyDescent="0.2">
      <c r="B336" s="6" t="s">
        <v>1111</v>
      </c>
      <c r="C336" s="6" t="s">
        <v>1112</v>
      </c>
      <c r="D336" s="6" t="s">
        <v>36</v>
      </c>
      <c r="E336" s="6" t="s">
        <v>37</v>
      </c>
      <c r="F336" s="6" t="s">
        <v>582</v>
      </c>
      <c r="G336" s="7" t="str">
        <f>HYPERLINK("https://www.google.com.au/maps/place/23° 52.182' S+151° 13.368' E","23° 52.182' S")</f>
        <v>23° 52.182' S</v>
      </c>
      <c r="H336" s="7" t="str">
        <f>HYPERLINK("https://www.google.com.au/maps/place/23° 52.182' S+151° 13.368' E","151° 13.368' E")</f>
        <v>151° 13.368' E</v>
      </c>
      <c r="I336" s="6" t="s">
        <v>101</v>
      </c>
      <c r="J336" s="6" t="s">
        <v>38</v>
      </c>
      <c r="K336" s="6" t="s">
        <v>39</v>
      </c>
      <c r="L336" s="6" t="s">
        <v>40</v>
      </c>
      <c r="M336" s="6" t="s">
        <v>41</v>
      </c>
      <c r="N336" s="6" t="s">
        <v>102</v>
      </c>
      <c r="O336" s="6" t="s">
        <v>103</v>
      </c>
      <c r="P336" s="8" t="s">
        <v>883</v>
      </c>
      <c r="Q336" s="1" t="s">
        <v>33</v>
      </c>
    </row>
    <row r="337" spans="2:17" ht="33.75" x14ac:dyDescent="0.2">
      <c r="B337" s="6" t="s">
        <v>1113</v>
      </c>
      <c r="C337" s="6" t="s">
        <v>1114</v>
      </c>
      <c r="D337" s="6" t="s">
        <v>36</v>
      </c>
      <c r="E337" s="6" t="s">
        <v>37</v>
      </c>
      <c r="F337" s="6" t="s">
        <v>24</v>
      </c>
      <c r="G337" s="7" t="str">
        <f>HYPERLINK("https://www.google.com.au/maps/place/33° 56.772' S+151° 10.632' E","33° 56.772' S")</f>
        <v>33° 56.772' S</v>
      </c>
      <c r="H337" s="7" t="str">
        <f>HYPERLINK("https://www.google.com.au/maps/place/33° 56.772' S+151° 10.632' E","151° 10.632' E")</f>
        <v>151° 10.632' E</v>
      </c>
      <c r="I337" s="6" t="s">
        <v>25</v>
      </c>
      <c r="J337" s="6" t="s">
        <v>38</v>
      </c>
      <c r="K337" s="6" t="s">
        <v>39</v>
      </c>
      <c r="L337" s="6" t="s">
        <v>40</v>
      </c>
      <c r="M337" s="6" t="s">
        <v>41</v>
      </c>
      <c r="N337" s="6" t="s">
        <v>62</v>
      </c>
      <c r="O337" s="6" t="s">
        <v>43</v>
      </c>
      <c r="P337" s="8" t="s">
        <v>1115</v>
      </c>
      <c r="Q337" s="1" t="s">
        <v>33</v>
      </c>
    </row>
    <row r="338" spans="2:17" ht="56.25" x14ac:dyDescent="0.2">
      <c r="B338" s="6" t="s">
        <v>1116</v>
      </c>
      <c r="C338" s="6" t="s">
        <v>1117</v>
      </c>
      <c r="D338" s="6" t="s">
        <v>36</v>
      </c>
      <c r="E338" s="6" t="s">
        <v>37</v>
      </c>
      <c r="F338" s="6" t="s">
        <v>1118</v>
      </c>
      <c r="G338" s="7" t="str">
        <f>HYPERLINK("https://www.google.com.au/maps/place/24° 54.228' S+152° 19.122' E","24° 54.228' S")</f>
        <v>24° 54.228' S</v>
      </c>
      <c r="H338" s="7" t="str">
        <f>HYPERLINK("https://www.google.com.au/maps/place/24° 54.228' S+152° 19.122' E","152° 19.122' E")</f>
        <v>152° 19.122' E</v>
      </c>
      <c r="I338" s="6" t="s">
        <v>101</v>
      </c>
      <c r="J338" s="6" t="s">
        <v>626</v>
      </c>
      <c r="K338" s="6" t="s">
        <v>627</v>
      </c>
      <c r="L338" s="6" t="s">
        <v>482</v>
      </c>
      <c r="M338" s="6" t="s">
        <v>54</v>
      </c>
      <c r="N338" s="6" t="s">
        <v>55</v>
      </c>
      <c r="O338" s="6" t="s">
        <v>56</v>
      </c>
      <c r="P338" s="8" t="s">
        <v>1119</v>
      </c>
      <c r="Q338" s="1" t="s">
        <v>33</v>
      </c>
    </row>
    <row r="339" spans="2:17" ht="67.5" x14ac:dyDescent="0.2">
      <c r="B339" s="6" t="s">
        <v>1116</v>
      </c>
      <c r="C339" s="6" t="s">
        <v>1120</v>
      </c>
      <c r="D339" s="6" t="s">
        <v>36</v>
      </c>
      <c r="E339" s="6" t="s">
        <v>37</v>
      </c>
      <c r="F339" s="6" t="s">
        <v>187</v>
      </c>
      <c r="G339" s="7" t="str">
        <f>HYPERLINK("https://www.google.com.au/maps/place/31° 26.148' S+152° 51.798' E","31° 26.148' S")</f>
        <v>31° 26.148' S</v>
      </c>
      <c r="H339" s="7" t="str">
        <f>HYPERLINK("https://www.google.com.au/maps/place/31° 26.148' S+152° 51.798' E","152° 51.798' E")</f>
        <v>152° 51.798' E</v>
      </c>
      <c r="I339" s="6" t="s">
        <v>25</v>
      </c>
      <c r="J339" s="6" t="s">
        <v>626</v>
      </c>
      <c r="K339" s="6" t="s">
        <v>627</v>
      </c>
      <c r="L339" s="6" t="s">
        <v>127</v>
      </c>
      <c r="M339" s="6" t="s">
        <v>54</v>
      </c>
      <c r="N339" s="6" t="s">
        <v>1121</v>
      </c>
      <c r="O339" s="6" t="s">
        <v>56</v>
      </c>
      <c r="P339" s="8" t="s">
        <v>1122</v>
      </c>
      <c r="Q339" s="1" t="s">
        <v>33</v>
      </c>
    </row>
    <row r="340" spans="2:17" ht="33.75" x14ac:dyDescent="0.2">
      <c r="B340" s="6" t="s">
        <v>1123</v>
      </c>
      <c r="C340" s="6" t="s">
        <v>1124</v>
      </c>
      <c r="D340" s="6" t="s">
        <v>36</v>
      </c>
      <c r="E340" s="6" t="s">
        <v>37</v>
      </c>
      <c r="F340" s="6" t="s">
        <v>346</v>
      </c>
      <c r="G340" s="7" t="str">
        <f>HYPERLINK("https://www.google.com.au/maps/place/27° 23.052' S+153° 7.05' E","27° 23.052' S")</f>
        <v>27° 23.052' S</v>
      </c>
      <c r="H340" s="7" t="str">
        <f>HYPERLINK("https://www.google.com.au/maps/place/27° 23.052' S+153° 7.05' E","153° 7.05' E")</f>
        <v>153° 7.05' E</v>
      </c>
      <c r="I340" s="6" t="s">
        <v>101</v>
      </c>
      <c r="J340" s="6" t="s">
        <v>38</v>
      </c>
      <c r="K340" s="6" t="s">
        <v>39</v>
      </c>
      <c r="L340" s="6" t="s">
        <v>40</v>
      </c>
      <c r="M340" s="6" t="s">
        <v>41</v>
      </c>
      <c r="N340" s="6" t="s">
        <v>62</v>
      </c>
      <c r="O340" s="6" t="s">
        <v>43</v>
      </c>
      <c r="P340" s="8" t="s">
        <v>1125</v>
      </c>
      <c r="Q340" s="1" t="s">
        <v>33</v>
      </c>
    </row>
    <row r="341" spans="2:17" ht="33.75" x14ac:dyDescent="0.2">
      <c r="B341" s="6" t="s">
        <v>1126</v>
      </c>
      <c r="C341" s="6" t="s">
        <v>1127</v>
      </c>
      <c r="D341" s="6" t="s">
        <v>36</v>
      </c>
      <c r="E341" s="6" t="s">
        <v>37</v>
      </c>
      <c r="F341" s="6" t="s">
        <v>60</v>
      </c>
      <c r="G341" s="7" t="str">
        <f>HYPERLINK("https://www.google.com.au/maps/place/35° 18.42' S+149° 11.7' E","35° 18.42' S")</f>
        <v>35° 18.42' S</v>
      </c>
      <c r="H341" s="7" t="str">
        <f>HYPERLINK("https://www.google.com.au/maps/place/35° 18.42' S+149° 11.7' E","149° 11.7' E")</f>
        <v>149° 11.7' E</v>
      </c>
      <c r="I341" s="6" t="s">
        <v>61</v>
      </c>
      <c r="J341" s="6" t="s">
        <v>38</v>
      </c>
      <c r="K341" s="6" t="s">
        <v>39</v>
      </c>
      <c r="L341" s="6" t="s">
        <v>40</v>
      </c>
      <c r="M341" s="6" t="s">
        <v>41</v>
      </c>
      <c r="N341" s="6" t="s">
        <v>62</v>
      </c>
      <c r="O341" s="6" t="s">
        <v>43</v>
      </c>
      <c r="P341" s="8" t="s">
        <v>1128</v>
      </c>
      <c r="Q341" s="1" t="s">
        <v>33</v>
      </c>
    </row>
    <row r="342" spans="2:17" ht="33.75" x14ac:dyDescent="0.2">
      <c r="B342" s="6" t="s">
        <v>1129</v>
      </c>
      <c r="C342" s="6" t="s">
        <v>1130</v>
      </c>
      <c r="D342" s="6" t="s">
        <v>36</v>
      </c>
      <c r="E342" s="6" t="s">
        <v>37</v>
      </c>
      <c r="F342" s="6" t="s">
        <v>117</v>
      </c>
      <c r="G342" s="7" t="str">
        <f>HYPERLINK("https://www.google.com.au/maps/place/33° 56.772' S+151° 10.632' E","33° 56.772' S")</f>
        <v>33° 56.772' S</v>
      </c>
      <c r="H342" s="7" t="str">
        <f>HYPERLINK("https://www.google.com.au/maps/place/33° 56.772' S+151° 10.632' E","151° 10.632' E")</f>
        <v>151° 10.632' E</v>
      </c>
      <c r="I342" s="6" t="s">
        <v>25</v>
      </c>
      <c r="J342" s="6" t="s">
        <v>38</v>
      </c>
      <c r="K342" s="6" t="s">
        <v>39</v>
      </c>
      <c r="L342" s="6" t="s">
        <v>40</v>
      </c>
      <c r="M342" s="6" t="s">
        <v>41</v>
      </c>
      <c r="N342" s="6" t="s">
        <v>62</v>
      </c>
      <c r="O342" s="6" t="s">
        <v>43</v>
      </c>
      <c r="P342" s="8" t="s">
        <v>1131</v>
      </c>
      <c r="Q342" s="1" t="s">
        <v>33</v>
      </c>
    </row>
    <row r="343" spans="2:17" ht="33.75" x14ac:dyDescent="0.2">
      <c r="B343" s="6" t="s">
        <v>1132</v>
      </c>
      <c r="C343" s="6" t="s">
        <v>1133</v>
      </c>
      <c r="D343" s="6" t="s">
        <v>36</v>
      </c>
      <c r="E343" s="6" t="s">
        <v>37</v>
      </c>
      <c r="F343" s="6" t="s">
        <v>514</v>
      </c>
      <c r="G343" s="7" t="str">
        <f>HYPERLINK("https://www.google.com.au/maps/place/23° 52.182' S+151° 13.368' E","23° 52.182' S")</f>
        <v>23° 52.182' S</v>
      </c>
      <c r="H343" s="7" t="str">
        <f>HYPERLINK("https://www.google.com.au/maps/place/23° 52.182' S+151° 13.368' E","151° 13.368' E")</f>
        <v>151° 13.368' E</v>
      </c>
      <c r="I343" s="6" t="s">
        <v>101</v>
      </c>
      <c r="J343" s="6" t="s">
        <v>38</v>
      </c>
      <c r="K343" s="6" t="s">
        <v>39</v>
      </c>
      <c r="L343" s="6" t="s">
        <v>40</v>
      </c>
      <c r="M343" s="6" t="s">
        <v>41</v>
      </c>
      <c r="N343" s="6" t="s">
        <v>102</v>
      </c>
      <c r="O343" s="6" t="s">
        <v>103</v>
      </c>
      <c r="P343" s="8" t="s">
        <v>1134</v>
      </c>
      <c r="Q343" s="1" t="s">
        <v>33</v>
      </c>
    </row>
    <row r="344" spans="2:17" ht="33.75" x14ac:dyDescent="0.2">
      <c r="B344" s="6" t="s">
        <v>1132</v>
      </c>
      <c r="C344" s="6" t="s">
        <v>1135</v>
      </c>
      <c r="D344" s="6" t="s">
        <v>36</v>
      </c>
      <c r="E344" s="6" t="s">
        <v>37</v>
      </c>
      <c r="F344" s="6" t="s">
        <v>60</v>
      </c>
      <c r="G344" s="7" t="str">
        <f>HYPERLINK("https://www.google.com.au/maps/place/35° 18.42' S+149° 11.7' E","35° 18.42' S")</f>
        <v>35° 18.42' S</v>
      </c>
      <c r="H344" s="7" t="str">
        <f>HYPERLINK("https://www.google.com.au/maps/place/35° 18.42' S+149° 11.7' E","149° 11.7' E")</f>
        <v>149° 11.7' E</v>
      </c>
      <c r="I344" s="6" t="s">
        <v>61</v>
      </c>
      <c r="J344" s="6" t="s">
        <v>38</v>
      </c>
      <c r="K344" s="6" t="s">
        <v>39</v>
      </c>
      <c r="L344" s="6" t="s">
        <v>40</v>
      </c>
      <c r="M344" s="6" t="s">
        <v>41</v>
      </c>
      <c r="N344" s="6" t="s">
        <v>62</v>
      </c>
      <c r="O344" s="6" t="s">
        <v>43</v>
      </c>
      <c r="P344" s="8" t="s">
        <v>1136</v>
      </c>
      <c r="Q344" s="1" t="s">
        <v>33</v>
      </c>
    </row>
    <row r="345" spans="2:17" ht="67.5" x14ac:dyDescent="0.2">
      <c r="B345" s="6" t="s">
        <v>1137</v>
      </c>
      <c r="C345" s="6" t="s">
        <v>1138</v>
      </c>
      <c r="D345" s="6" t="s">
        <v>36</v>
      </c>
      <c r="E345" s="6" t="s">
        <v>37</v>
      </c>
      <c r="F345" s="6" t="s">
        <v>346</v>
      </c>
      <c r="G345" s="7" t="str">
        <f>HYPERLINK("https://www.google.com.au/maps/place/27° 23.052' S+153° 7.05' E","27° 23.052' S")</f>
        <v>27° 23.052' S</v>
      </c>
      <c r="H345" s="7" t="str">
        <f>HYPERLINK("https://www.google.com.au/maps/place/27° 23.052' S+153° 7.05' E","153° 7.05' E")</f>
        <v>153° 7.05' E</v>
      </c>
      <c r="I345" s="6" t="s">
        <v>101</v>
      </c>
      <c r="J345" s="6" t="s">
        <v>26</v>
      </c>
      <c r="K345" s="6" t="s">
        <v>85</v>
      </c>
      <c r="L345" s="6" t="s">
        <v>28</v>
      </c>
      <c r="M345" s="6" t="s">
        <v>29</v>
      </c>
      <c r="N345" s="6" t="s">
        <v>128</v>
      </c>
      <c r="O345" s="6" t="s">
        <v>31</v>
      </c>
      <c r="P345" s="8" t="s">
        <v>1139</v>
      </c>
      <c r="Q345" s="1" t="s">
        <v>33</v>
      </c>
    </row>
    <row r="346" spans="2:17" ht="33.75" x14ac:dyDescent="0.2">
      <c r="B346" s="6" t="s">
        <v>1140</v>
      </c>
      <c r="C346" s="6" t="s">
        <v>1141</v>
      </c>
      <c r="D346" s="6" t="s">
        <v>36</v>
      </c>
      <c r="E346" s="6" t="s">
        <v>37</v>
      </c>
      <c r="F346" s="6" t="s">
        <v>1030</v>
      </c>
      <c r="G346" s="7" t="str">
        <f>HYPERLINK("https://www.google.com.au/maps/place/23° 34.05' S+148° 10.752' E","23° 34.05' S")</f>
        <v>23° 34.05' S</v>
      </c>
      <c r="H346" s="7" t="str">
        <f>HYPERLINK("https://www.google.com.au/maps/place/23° 34.05' S+148° 10.752' E","148° 10.752' E")</f>
        <v>148° 10.752' E</v>
      </c>
      <c r="I346" s="6" t="s">
        <v>101</v>
      </c>
      <c r="J346" s="6" t="s">
        <v>38</v>
      </c>
      <c r="K346" s="6" t="s">
        <v>39</v>
      </c>
      <c r="L346" s="6" t="s">
        <v>40</v>
      </c>
      <c r="M346" s="6" t="s">
        <v>41</v>
      </c>
      <c r="N346" s="6" t="s">
        <v>42</v>
      </c>
      <c r="O346" s="6" t="s">
        <v>43</v>
      </c>
      <c r="P346" s="8" t="s">
        <v>1142</v>
      </c>
      <c r="Q346" s="1" t="s">
        <v>33</v>
      </c>
    </row>
    <row r="347" spans="2:17" ht="67.5" x14ac:dyDescent="0.2">
      <c r="B347" s="6" t="s">
        <v>1143</v>
      </c>
      <c r="C347" s="6" t="s">
        <v>1144</v>
      </c>
      <c r="D347" s="6" t="s">
        <v>36</v>
      </c>
      <c r="E347" s="6" t="s">
        <v>37</v>
      </c>
      <c r="F347" s="6" t="s">
        <v>1145</v>
      </c>
      <c r="G347" s="7" t="str">
        <f>HYPERLINK("https://www.google.com.au/maps/place/26° 31.38' S+153° 5.55' E","26° 31.38' S")</f>
        <v>26° 31.38' S</v>
      </c>
      <c r="H347" s="7" t="str">
        <f>HYPERLINK("https://www.google.com.au/maps/place/26° 31.38' S+153° 5.55' E","153° 5.55' E")</f>
        <v>153° 5.55' E</v>
      </c>
      <c r="I347" s="6" t="s">
        <v>101</v>
      </c>
      <c r="J347" s="6" t="s">
        <v>51</v>
      </c>
      <c r="K347" s="6" t="s">
        <v>52</v>
      </c>
      <c r="L347" s="6" t="s">
        <v>391</v>
      </c>
      <c r="M347" s="6" t="s">
        <v>483</v>
      </c>
      <c r="N347" s="6" t="s">
        <v>86</v>
      </c>
      <c r="O347" s="6" t="s">
        <v>31</v>
      </c>
      <c r="P347" s="8" t="s">
        <v>1146</v>
      </c>
      <c r="Q347" s="1" t="s">
        <v>33</v>
      </c>
    </row>
    <row r="348" spans="2:17" ht="33.75" x14ac:dyDescent="0.2">
      <c r="B348" s="6" t="s">
        <v>1147</v>
      </c>
      <c r="C348" s="6" t="s">
        <v>1148</v>
      </c>
      <c r="D348" s="6" t="s">
        <v>36</v>
      </c>
      <c r="E348" s="6" t="s">
        <v>37</v>
      </c>
      <c r="F348" s="6" t="s">
        <v>24</v>
      </c>
      <c r="G348" s="7" t="str">
        <f>HYPERLINK("https://www.google.com.au/maps/place/33° 56.772' S+151° 10.632' E","33° 56.772' S")</f>
        <v>33° 56.772' S</v>
      </c>
      <c r="H348" s="7" t="str">
        <f>HYPERLINK("https://www.google.com.au/maps/place/33° 56.772' S+151° 10.632' E","151° 10.632' E")</f>
        <v>151° 10.632' E</v>
      </c>
      <c r="I348" s="6" t="s">
        <v>25</v>
      </c>
      <c r="J348" s="6" t="s">
        <v>38</v>
      </c>
      <c r="K348" s="6" t="s">
        <v>39</v>
      </c>
      <c r="L348" s="6" t="s">
        <v>40</v>
      </c>
      <c r="M348" s="6" t="s">
        <v>41</v>
      </c>
      <c r="N348" s="6" t="s">
        <v>62</v>
      </c>
      <c r="O348" s="6" t="s">
        <v>43</v>
      </c>
      <c r="P348" s="8" t="s">
        <v>1149</v>
      </c>
      <c r="Q348" s="1" t="s">
        <v>33</v>
      </c>
    </row>
    <row r="349" spans="2:17" ht="33.75" x14ac:dyDescent="0.2">
      <c r="B349" s="6" t="s">
        <v>1150</v>
      </c>
      <c r="C349" s="6" t="s">
        <v>1151</v>
      </c>
      <c r="D349" s="6" t="s">
        <v>36</v>
      </c>
      <c r="E349" s="6" t="s">
        <v>37</v>
      </c>
      <c r="F349" s="6" t="s">
        <v>60</v>
      </c>
      <c r="G349" s="7" t="str">
        <f>HYPERLINK("https://www.google.com.au/maps/place/35° 18.42' S+149° 11.7' E","35° 18.42' S")</f>
        <v>35° 18.42' S</v>
      </c>
      <c r="H349" s="7" t="str">
        <f>HYPERLINK("https://www.google.com.au/maps/place/35° 18.42' S+149° 11.7' E","149° 11.7' E")</f>
        <v>149° 11.7' E</v>
      </c>
      <c r="I349" s="6" t="s">
        <v>61</v>
      </c>
      <c r="J349" s="6" t="s">
        <v>38</v>
      </c>
      <c r="K349" s="6" t="s">
        <v>39</v>
      </c>
      <c r="L349" s="6" t="s">
        <v>40</v>
      </c>
      <c r="M349" s="6" t="s">
        <v>41</v>
      </c>
      <c r="N349" s="6" t="s">
        <v>62</v>
      </c>
      <c r="O349" s="6" t="s">
        <v>43</v>
      </c>
      <c r="P349" s="8" t="s">
        <v>1152</v>
      </c>
      <c r="Q349" s="1" t="s">
        <v>33</v>
      </c>
    </row>
    <row r="350" spans="2:17" ht="33.75" x14ac:dyDescent="0.2">
      <c r="B350" s="6" t="s">
        <v>1153</v>
      </c>
      <c r="C350" s="6" t="s">
        <v>1154</v>
      </c>
      <c r="D350" s="6" t="s">
        <v>36</v>
      </c>
      <c r="E350" s="6" t="s">
        <v>37</v>
      </c>
      <c r="F350" s="6" t="s">
        <v>882</v>
      </c>
      <c r="G350" s="7" t="str">
        <f>HYPERLINK("https://www.google.com.au/maps/place/24° 54.228' S+152° 19.122' E","24° 54.228' S")</f>
        <v>24° 54.228' S</v>
      </c>
      <c r="H350" s="7" t="str">
        <f>HYPERLINK("https://www.google.com.au/maps/place/24° 54.228' S+152° 19.122' E","152° 19.122' E")</f>
        <v>152° 19.122' E</v>
      </c>
      <c r="I350" s="6" t="s">
        <v>101</v>
      </c>
      <c r="J350" s="6" t="s">
        <v>38</v>
      </c>
      <c r="K350" s="6" t="s">
        <v>39</v>
      </c>
      <c r="L350" s="6" t="s">
        <v>40</v>
      </c>
      <c r="M350" s="6" t="s">
        <v>41</v>
      </c>
      <c r="N350" s="6" t="s">
        <v>102</v>
      </c>
      <c r="O350" s="6" t="s">
        <v>103</v>
      </c>
      <c r="P350" s="8" t="s">
        <v>1155</v>
      </c>
      <c r="Q350" s="1" t="s">
        <v>33</v>
      </c>
    </row>
    <row r="351" spans="2:17" ht="33.75" x14ac:dyDescent="0.2">
      <c r="B351" s="6" t="s">
        <v>1156</v>
      </c>
      <c r="C351" s="6" t="s">
        <v>1157</v>
      </c>
      <c r="D351" s="6" t="s">
        <v>36</v>
      </c>
      <c r="E351" s="6" t="s">
        <v>37</v>
      </c>
      <c r="F351" s="6" t="s">
        <v>1158</v>
      </c>
      <c r="G351" s="7" t="str">
        <f>HYPERLINK("https://www.google.com.au/maps/place/27° 19.95' S+153° 1.278' E","27° 19.95' S")</f>
        <v>27° 19.95' S</v>
      </c>
      <c r="H351" s="7" t="str">
        <f>HYPERLINK("https://www.google.com.au/maps/place/27° 19.95' S+153° 1.278' E","153° 1.278' E")</f>
        <v>153° 1.278' E</v>
      </c>
      <c r="I351" s="6" t="s">
        <v>101</v>
      </c>
      <c r="J351" s="6" t="s">
        <v>38</v>
      </c>
      <c r="K351" s="6" t="s">
        <v>39</v>
      </c>
      <c r="L351" s="6" t="s">
        <v>40</v>
      </c>
      <c r="M351" s="6" t="s">
        <v>41</v>
      </c>
      <c r="N351" s="6" t="s">
        <v>42</v>
      </c>
      <c r="O351" s="6" t="s">
        <v>43</v>
      </c>
      <c r="P351" s="8" t="s">
        <v>1159</v>
      </c>
      <c r="Q351" s="1" t="s">
        <v>33</v>
      </c>
    </row>
    <row r="352" spans="2:17" ht="33.75" x14ac:dyDescent="0.2">
      <c r="B352" s="6" t="s">
        <v>1160</v>
      </c>
      <c r="C352" s="6" t="s">
        <v>1161</v>
      </c>
      <c r="D352" s="6" t="s">
        <v>36</v>
      </c>
      <c r="E352" s="6" t="s">
        <v>37</v>
      </c>
      <c r="F352" s="6" t="s">
        <v>60</v>
      </c>
      <c r="G352" s="7" t="str">
        <f>HYPERLINK("https://www.google.com.au/maps/place/35° 18.42' S+149° 11.7' E","35° 18.42' S")</f>
        <v>35° 18.42' S</v>
      </c>
      <c r="H352" s="7" t="str">
        <f>HYPERLINK("https://www.google.com.au/maps/place/35° 18.42' S+149° 11.7' E","149° 11.7' E")</f>
        <v>149° 11.7' E</v>
      </c>
      <c r="I352" s="6" t="s">
        <v>61</v>
      </c>
      <c r="J352" s="6" t="s">
        <v>38</v>
      </c>
      <c r="K352" s="6" t="s">
        <v>39</v>
      </c>
      <c r="L352" s="6" t="s">
        <v>40</v>
      </c>
      <c r="M352" s="6" t="s">
        <v>41</v>
      </c>
      <c r="N352" s="6" t="s">
        <v>62</v>
      </c>
      <c r="O352" s="6" t="s">
        <v>43</v>
      </c>
      <c r="P352" s="8" t="s">
        <v>1162</v>
      </c>
      <c r="Q352" s="1" t="s">
        <v>33</v>
      </c>
    </row>
    <row r="353" spans="2:17" ht="33.75" x14ac:dyDescent="0.2">
      <c r="B353" s="6" t="s">
        <v>1163</v>
      </c>
      <c r="C353" s="6" t="s">
        <v>1164</v>
      </c>
      <c r="D353" s="6" t="s">
        <v>36</v>
      </c>
      <c r="E353" s="6" t="s">
        <v>37</v>
      </c>
      <c r="F353" s="6" t="s">
        <v>555</v>
      </c>
      <c r="G353" s="7" t="str">
        <f>HYPERLINK("https://www.google.com.au/maps/place/27° 23.052' S+153° 7.05' E","27° 23.052' S")</f>
        <v>27° 23.052' S</v>
      </c>
      <c r="H353" s="7" t="str">
        <f>HYPERLINK("https://www.google.com.au/maps/place/27° 23.052' S+153° 7.05' E","153° 7.05' E")</f>
        <v>153° 7.05' E</v>
      </c>
      <c r="I353" s="6" t="s">
        <v>101</v>
      </c>
      <c r="J353" s="6" t="s">
        <v>38</v>
      </c>
      <c r="K353" s="6" t="s">
        <v>39</v>
      </c>
      <c r="L353" s="6" t="s">
        <v>40</v>
      </c>
      <c r="M353" s="6" t="s">
        <v>41</v>
      </c>
      <c r="N353" s="6" t="s">
        <v>62</v>
      </c>
      <c r="O353" s="6" t="s">
        <v>43</v>
      </c>
      <c r="P353" s="8" t="s">
        <v>1165</v>
      </c>
      <c r="Q353" s="1" t="s">
        <v>33</v>
      </c>
    </row>
    <row r="354" spans="2:17" ht="33.75" x14ac:dyDescent="0.2">
      <c r="B354" s="6" t="s">
        <v>1163</v>
      </c>
      <c r="C354" s="6" t="s">
        <v>1166</v>
      </c>
      <c r="D354" s="6" t="s">
        <v>36</v>
      </c>
      <c r="E354" s="6" t="s">
        <v>37</v>
      </c>
      <c r="F354" s="6" t="s">
        <v>193</v>
      </c>
      <c r="G354" s="7" t="str">
        <f>HYPERLINK("https://www.google.com.au/maps/place/35° 18.42' S+149° 11.7' E","35° 18.42' S")</f>
        <v>35° 18.42' S</v>
      </c>
      <c r="H354" s="7" t="str">
        <f>HYPERLINK("https://www.google.com.au/maps/place/35° 18.42' S+149° 11.7' E","149° 11.7' E")</f>
        <v>149° 11.7' E</v>
      </c>
      <c r="I354" s="6" t="s">
        <v>61</v>
      </c>
      <c r="J354" s="6" t="s">
        <v>38</v>
      </c>
      <c r="K354" s="6" t="s">
        <v>39</v>
      </c>
      <c r="L354" s="6" t="s">
        <v>40</v>
      </c>
      <c r="M354" s="6" t="s">
        <v>41</v>
      </c>
      <c r="N354" s="6" t="s">
        <v>62</v>
      </c>
      <c r="O354" s="6" t="s">
        <v>43</v>
      </c>
      <c r="P354" s="8" t="s">
        <v>1167</v>
      </c>
      <c r="Q354" s="1" t="s">
        <v>33</v>
      </c>
    </row>
    <row r="355" spans="2:17" ht="67.5" x14ac:dyDescent="0.2">
      <c r="B355" s="6" t="s">
        <v>1168</v>
      </c>
      <c r="C355" s="6" t="s">
        <v>1169</v>
      </c>
      <c r="D355" s="6" t="s">
        <v>36</v>
      </c>
      <c r="E355" s="6" t="s">
        <v>37</v>
      </c>
      <c r="F355" s="6" t="s">
        <v>1170</v>
      </c>
      <c r="G355" s="7" t="str">
        <f>HYPERLINK("https://www.google.com.au/maps/place/33° 48.852' S+151° 9.072' E","33° 48.852' S")</f>
        <v>33° 48.852' S</v>
      </c>
      <c r="H355" s="7" t="str">
        <f>HYPERLINK("https://www.google.com.au/maps/place/33° 48.852' S+151° 9.072' E","151° 9.072' E")</f>
        <v>151° 9.072' E</v>
      </c>
      <c r="I355" s="6" t="s">
        <v>25</v>
      </c>
      <c r="J355" s="6" t="s">
        <v>26</v>
      </c>
      <c r="K355" s="6" t="s">
        <v>85</v>
      </c>
      <c r="L355" s="6" t="s">
        <v>28</v>
      </c>
      <c r="M355" s="6" t="s">
        <v>29</v>
      </c>
      <c r="N355" s="6" t="s">
        <v>86</v>
      </c>
      <c r="O355" s="6" t="s">
        <v>31</v>
      </c>
      <c r="P355" s="8" t="s">
        <v>1171</v>
      </c>
      <c r="Q355" s="1" t="s">
        <v>33</v>
      </c>
    </row>
    <row r="356" spans="2:17" ht="33.75" x14ac:dyDescent="0.2">
      <c r="B356" s="6" t="s">
        <v>1172</v>
      </c>
      <c r="C356" s="6" t="s">
        <v>1173</v>
      </c>
      <c r="D356" s="6" t="s">
        <v>36</v>
      </c>
      <c r="E356" s="6" t="s">
        <v>37</v>
      </c>
      <c r="F356" s="6" t="s">
        <v>187</v>
      </c>
      <c r="G356" s="7" t="str">
        <f>HYPERLINK("https://www.google.com.au/maps/place/31° 26.148' S+152° 51.798' E","31° 26.148' S")</f>
        <v>31° 26.148' S</v>
      </c>
      <c r="H356" s="7" t="str">
        <f>HYPERLINK("https://www.google.com.au/maps/place/31° 26.148' S+152° 51.798' E","152° 51.798' E")</f>
        <v>152° 51.798' E</v>
      </c>
      <c r="I356" s="6" t="s">
        <v>25</v>
      </c>
      <c r="J356" s="6" t="s">
        <v>38</v>
      </c>
      <c r="K356" s="6" t="s">
        <v>39</v>
      </c>
      <c r="L356" s="6" t="s">
        <v>40</v>
      </c>
      <c r="M356" s="6" t="s">
        <v>41</v>
      </c>
      <c r="N356" s="6" t="s">
        <v>102</v>
      </c>
      <c r="O356" s="6" t="s">
        <v>103</v>
      </c>
      <c r="P356" s="8" t="s">
        <v>1174</v>
      </c>
      <c r="Q356" s="1" t="s">
        <v>33</v>
      </c>
    </row>
    <row r="357" spans="2:17" ht="33.75" x14ac:dyDescent="0.2">
      <c r="B357" s="6" t="s">
        <v>1175</v>
      </c>
      <c r="C357" s="6" t="s">
        <v>1176</v>
      </c>
      <c r="D357" s="6" t="s">
        <v>36</v>
      </c>
      <c r="E357" s="6" t="s">
        <v>37</v>
      </c>
      <c r="F357" s="6" t="s">
        <v>582</v>
      </c>
      <c r="G357" s="7" t="str">
        <f>HYPERLINK("https://www.google.com.au/maps/place/23° 52.182' S+151° 13.368' E","23° 52.182' S")</f>
        <v>23° 52.182' S</v>
      </c>
      <c r="H357" s="7" t="str">
        <f>HYPERLINK("https://www.google.com.au/maps/place/23° 52.182' S+151° 13.368' E","151° 13.368' E")</f>
        <v>151° 13.368' E</v>
      </c>
      <c r="I357" s="6" t="s">
        <v>101</v>
      </c>
      <c r="J357" s="6" t="s">
        <v>38</v>
      </c>
      <c r="K357" s="6" t="s">
        <v>39</v>
      </c>
      <c r="L357" s="6" t="s">
        <v>40</v>
      </c>
      <c r="M357" s="6" t="s">
        <v>41</v>
      </c>
      <c r="N357" s="6" t="s">
        <v>102</v>
      </c>
      <c r="O357" s="6" t="s">
        <v>103</v>
      </c>
      <c r="P357" s="8" t="s">
        <v>104</v>
      </c>
      <c r="Q357" s="1" t="s">
        <v>33</v>
      </c>
    </row>
    <row r="358" spans="2:17" ht="281.25" x14ac:dyDescent="0.2">
      <c r="B358" s="6" t="s">
        <v>1177</v>
      </c>
      <c r="C358" s="6" t="s">
        <v>1178</v>
      </c>
      <c r="D358" s="6" t="s">
        <v>36</v>
      </c>
      <c r="E358" s="7" t="str">
        <f>HYPERLINK("http://www.atsb.gov.au/publications/investigation_reports/2014/aair/AO-2014-073.aspx","AO-2014-073")</f>
        <v>AO-2014-073</v>
      </c>
      <c r="F358" s="6" t="s">
        <v>582</v>
      </c>
      <c r="G358" s="7" t="str">
        <f>HYPERLINK("https://www.google.com.au/maps/place/23° 52.182' S+151° 13.368' E","23° 52.182' S")</f>
        <v>23° 52.182' S</v>
      </c>
      <c r="H358" s="7" t="str">
        <f>HYPERLINK("https://www.google.com.au/maps/place/23° 52.182' S+151° 13.368' E","151° 13.368' E")</f>
        <v>151° 13.368' E</v>
      </c>
      <c r="I358" s="6" t="s">
        <v>101</v>
      </c>
      <c r="J358" s="6" t="s">
        <v>295</v>
      </c>
      <c r="K358" s="6" t="s">
        <v>296</v>
      </c>
      <c r="L358" s="6" t="s">
        <v>28</v>
      </c>
      <c r="M358" s="6" t="s">
        <v>29</v>
      </c>
      <c r="N358" s="6" t="s">
        <v>55</v>
      </c>
      <c r="O358" s="6" t="s">
        <v>56</v>
      </c>
      <c r="P358" s="8" t="s">
        <v>1179</v>
      </c>
      <c r="Q358" s="1" t="s">
        <v>33</v>
      </c>
    </row>
    <row r="359" spans="2:17" ht="33.75" x14ac:dyDescent="0.2">
      <c r="B359" s="6" t="s">
        <v>1180</v>
      </c>
      <c r="C359" s="6" t="s">
        <v>1181</v>
      </c>
      <c r="D359" s="6" t="s">
        <v>36</v>
      </c>
      <c r="E359" s="6" t="s">
        <v>37</v>
      </c>
      <c r="F359" s="6" t="s">
        <v>24</v>
      </c>
      <c r="G359" s="7" t="str">
        <f>HYPERLINK("https://www.google.com.au/maps/place/33° 56.772' S+151° 10.632' E","33° 56.772' S")</f>
        <v>33° 56.772' S</v>
      </c>
      <c r="H359" s="7" t="str">
        <f>HYPERLINK("https://www.google.com.au/maps/place/33° 56.772' S+151° 10.632' E","151° 10.632' E")</f>
        <v>151° 10.632' E</v>
      </c>
      <c r="I359" s="6" t="s">
        <v>25</v>
      </c>
      <c r="J359" s="6" t="s">
        <v>38</v>
      </c>
      <c r="K359" s="6" t="s">
        <v>39</v>
      </c>
      <c r="L359" s="6" t="s">
        <v>40</v>
      </c>
      <c r="M359" s="6" t="s">
        <v>41</v>
      </c>
      <c r="N359" s="6" t="s">
        <v>62</v>
      </c>
      <c r="O359" s="6" t="s">
        <v>43</v>
      </c>
      <c r="P359" s="8" t="s">
        <v>1182</v>
      </c>
      <c r="Q359" s="1" t="s">
        <v>33</v>
      </c>
    </row>
    <row r="360" spans="2:17" ht="33.75" x14ac:dyDescent="0.2">
      <c r="B360" s="6" t="s">
        <v>1183</v>
      </c>
      <c r="C360" s="6" t="s">
        <v>1184</v>
      </c>
      <c r="D360" s="6" t="s">
        <v>36</v>
      </c>
      <c r="E360" s="6" t="s">
        <v>37</v>
      </c>
      <c r="F360" s="6" t="s">
        <v>1185</v>
      </c>
      <c r="G360" s="7" t="str">
        <f>HYPERLINK("https://www.google.com.au/maps/place/34° 48.618' S+149° 43.578' E","34° 48.618' S")</f>
        <v>34° 48.618' S</v>
      </c>
      <c r="H360" s="7" t="str">
        <f>HYPERLINK("https://www.google.com.au/maps/place/34° 48.618' S+149° 43.578' E","149° 43.578' E")</f>
        <v>149° 43.578' E</v>
      </c>
      <c r="I360" s="6" t="s">
        <v>25</v>
      </c>
      <c r="J360" s="6" t="s">
        <v>38</v>
      </c>
      <c r="K360" s="6" t="s">
        <v>39</v>
      </c>
      <c r="L360" s="6" t="s">
        <v>40</v>
      </c>
      <c r="M360" s="6" t="s">
        <v>41</v>
      </c>
      <c r="N360" s="6" t="s">
        <v>42</v>
      </c>
      <c r="O360" s="6" t="s">
        <v>302</v>
      </c>
      <c r="P360" s="8" t="s">
        <v>1186</v>
      </c>
      <c r="Q360" s="1" t="s">
        <v>33</v>
      </c>
    </row>
    <row r="361" spans="2:17" ht="33.75" x14ac:dyDescent="0.2">
      <c r="B361" s="6" t="s">
        <v>1187</v>
      </c>
      <c r="C361" s="6" t="s">
        <v>1188</v>
      </c>
      <c r="D361" s="6" t="s">
        <v>36</v>
      </c>
      <c r="E361" s="6" t="s">
        <v>37</v>
      </c>
      <c r="F361" s="6" t="s">
        <v>1189</v>
      </c>
      <c r="G361" s="7" t="str">
        <f>HYPERLINK("https://www.google.com.au/maps/place/23° 23.898' S+150° 28.332' E","23° 23.898' S")</f>
        <v>23° 23.898' S</v>
      </c>
      <c r="H361" s="7" t="str">
        <f>HYPERLINK("https://www.google.com.au/maps/place/23° 23.898' S+150° 28.332' E","150° 28.332' E")</f>
        <v>150° 28.332' E</v>
      </c>
      <c r="I361" s="6" t="s">
        <v>101</v>
      </c>
      <c r="J361" s="6" t="s">
        <v>38</v>
      </c>
      <c r="K361" s="6" t="s">
        <v>39</v>
      </c>
      <c r="L361" s="6" t="s">
        <v>40</v>
      </c>
      <c r="M361" s="6" t="s">
        <v>41</v>
      </c>
      <c r="N361" s="6" t="s">
        <v>102</v>
      </c>
      <c r="O361" s="6" t="s">
        <v>103</v>
      </c>
      <c r="P361" s="8" t="s">
        <v>1190</v>
      </c>
      <c r="Q361" s="1" t="s">
        <v>33</v>
      </c>
    </row>
    <row r="362" spans="2:17" ht="33.75" x14ac:dyDescent="0.2">
      <c r="B362" s="6" t="s">
        <v>1191</v>
      </c>
      <c r="C362" s="6" t="s">
        <v>1192</v>
      </c>
      <c r="D362" s="6" t="s">
        <v>36</v>
      </c>
      <c r="E362" s="6" t="s">
        <v>37</v>
      </c>
      <c r="F362" s="6" t="s">
        <v>346</v>
      </c>
      <c r="G362" s="7" t="str">
        <f>HYPERLINK("https://www.google.com.au/maps/place/27° 23.052' S+153° 7.05' E","27° 23.052' S")</f>
        <v>27° 23.052' S</v>
      </c>
      <c r="H362" s="7" t="str">
        <f>HYPERLINK("https://www.google.com.au/maps/place/27° 23.052' S+153° 7.05' E","153° 7.05' E")</f>
        <v>153° 7.05' E</v>
      </c>
      <c r="I362" s="6" t="s">
        <v>101</v>
      </c>
      <c r="J362" s="6" t="s">
        <v>38</v>
      </c>
      <c r="K362" s="6" t="s">
        <v>39</v>
      </c>
      <c r="L362" s="6" t="s">
        <v>40</v>
      </c>
      <c r="M362" s="6" t="s">
        <v>41</v>
      </c>
      <c r="N362" s="6" t="s">
        <v>62</v>
      </c>
      <c r="O362" s="6" t="s">
        <v>43</v>
      </c>
      <c r="P362" s="8" t="s">
        <v>1193</v>
      </c>
      <c r="Q362" s="1" t="s">
        <v>33</v>
      </c>
    </row>
    <row r="363" spans="2:17" ht="33.75" x14ac:dyDescent="0.2">
      <c r="B363" s="6" t="s">
        <v>1194</v>
      </c>
      <c r="C363" s="6" t="s">
        <v>1195</v>
      </c>
      <c r="D363" s="6" t="s">
        <v>36</v>
      </c>
      <c r="E363" s="6" t="s">
        <v>37</v>
      </c>
      <c r="F363" s="6" t="s">
        <v>60</v>
      </c>
      <c r="G363" s="7" t="str">
        <f>HYPERLINK("https://www.google.com.au/maps/place/35° 18.42' S+149° 11.7' E","35° 18.42' S")</f>
        <v>35° 18.42' S</v>
      </c>
      <c r="H363" s="7" t="str">
        <f>HYPERLINK("https://www.google.com.au/maps/place/35° 18.42' S+149° 11.7' E","149° 11.7' E")</f>
        <v>149° 11.7' E</v>
      </c>
      <c r="I363" s="6" t="s">
        <v>61</v>
      </c>
      <c r="J363" s="6" t="s">
        <v>38</v>
      </c>
      <c r="K363" s="6" t="s">
        <v>39</v>
      </c>
      <c r="L363" s="6" t="s">
        <v>40</v>
      </c>
      <c r="M363" s="6" t="s">
        <v>41</v>
      </c>
      <c r="N363" s="6" t="s">
        <v>62</v>
      </c>
      <c r="O363" s="6" t="s">
        <v>43</v>
      </c>
      <c r="P363" s="8" t="s">
        <v>1196</v>
      </c>
      <c r="Q363" s="1" t="s">
        <v>33</v>
      </c>
    </row>
    <row r="364" spans="2:17" ht="33.75" x14ac:dyDescent="0.2">
      <c r="B364" s="6" t="s">
        <v>1197</v>
      </c>
      <c r="C364" s="6" t="s">
        <v>1198</v>
      </c>
      <c r="D364" s="6" t="s">
        <v>36</v>
      </c>
      <c r="E364" s="6" t="s">
        <v>37</v>
      </c>
      <c r="F364" s="6" t="s">
        <v>193</v>
      </c>
      <c r="G364" s="7" t="str">
        <f>HYPERLINK("https://www.google.com.au/maps/place/35° 18.42' S+149° 11.7' E","35° 18.42' S")</f>
        <v>35° 18.42' S</v>
      </c>
      <c r="H364" s="7" t="str">
        <f>HYPERLINK("https://www.google.com.au/maps/place/35° 18.42' S+149° 11.7' E","149° 11.7' E")</f>
        <v>149° 11.7' E</v>
      </c>
      <c r="I364" s="6" t="s">
        <v>61</v>
      </c>
      <c r="J364" s="6" t="s">
        <v>38</v>
      </c>
      <c r="K364" s="6" t="s">
        <v>39</v>
      </c>
      <c r="L364" s="6" t="s">
        <v>40</v>
      </c>
      <c r="M364" s="6" t="s">
        <v>41</v>
      </c>
      <c r="N364" s="6" t="s">
        <v>62</v>
      </c>
      <c r="O364" s="6" t="s">
        <v>43</v>
      </c>
      <c r="P364" s="8" t="s">
        <v>1199</v>
      </c>
      <c r="Q364" s="1" t="s">
        <v>33</v>
      </c>
    </row>
    <row r="365" spans="2:17" ht="33.75" x14ac:dyDescent="0.2">
      <c r="B365" s="6" t="s">
        <v>1200</v>
      </c>
      <c r="C365" s="6" t="s">
        <v>1201</v>
      </c>
      <c r="D365" s="6" t="s">
        <v>36</v>
      </c>
      <c r="E365" s="6" t="s">
        <v>37</v>
      </c>
      <c r="F365" s="6" t="s">
        <v>582</v>
      </c>
      <c r="G365" s="7" t="str">
        <f>HYPERLINK("https://www.google.com.au/maps/place/23° 52.182' S+151° 13.368' E","23° 52.182' S")</f>
        <v>23° 52.182' S</v>
      </c>
      <c r="H365" s="7" t="str">
        <f>HYPERLINK("https://www.google.com.au/maps/place/23° 52.182' S+151° 13.368' E","151° 13.368' E")</f>
        <v>151° 13.368' E</v>
      </c>
      <c r="I365" s="6" t="s">
        <v>101</v>
      </c>
      <c r="J365" s="6" t="s">
        <v>38</v>
      </c>
      <c r="K365" s="6" t="s">
        <v>39</v>
      </c>
      <c r="L365" s="6" t="s">
        <v>40</v>
      </c>
      <c r="M365" s="6" t="s">
        <v>41</v>
      </c>
      <c r="N365" s="6" t="s">
        <v>102</v>
      </c>
      <c r="O365" s="6" t="s">
        <v>103</v>
      </c>
      <c r="P365" s="8" t="s">
        <v>1202</v>
      </c>
      <c r="Q365" s="1" t="s">
        <v>33</v>
      </c>
    </row>
    <row r="366" spans="2:17" ht="258.75" x14ac:dyDescent="0.2">
      <c r="B366" s="6" t="s">
        <v>1203</v>
      </c>
      <c r="C366" s="6" t="s">
        <v>1204</v>
      </c>
      <c r="D366" s="6" t="s">
        <v>23</v>
      </c>
      <c r="E366" s="7" t="str">
        <f>HYPERLINK("http://www.atsb.gov.au/publications/investigation_reports/2014/aair/AO-2014-041.aspx","AO-2014-041")</f>
        <v>AO-2014-041</v>
      </c>
      <c r="F366" s="6" t="s">
        <v>378</v>
      </c>
      <c r="G366" s="7" t="str">
        <f>HYPERLINK("https://www.google.com.au/maps/place/22° 3.468' S+148° 4.65' E","22° 3.468' S")</f>
        <v>22° 3.468' S</v>
      </c>
      <c r="H366" s="7" t="str">
        <f>HYPERLINK("https://www.google.com.au/maps/place/22° 3.468' S+148° 4.65' E","148° 4.65' E")</f>
        <v>148° 4.65' E</v>
      </c>
      <c r="I366" s="6" t="s">
        <v>101</v>
      </c>
      <c r="J366" s="6" t="s">
        <v>38</v>
      </c>
      <c r="K366" s="6" t="s">
        <v>39</v>
      </c>
      <c r="L366" s="6" t="s">
        <v>40</v>
      </c>
      <c r="M366" s="6" t="s">
        <v>41</v>
      </c>
      <c r="N366" s="6" t="s">
        <v>102</v>
      </c>
      <c r="O366" s="6" t="s">
        <v>103</v>
      </c>
      <c r="P366" s="8" t="s">
        <v>1205</v>
      </c>
      <c r="Q366" s="1" t="s">
        <v>33</v>
      </c>
    </row>
    <row r="367" spans="2:17" ht="33.75" x14ac:dyDescent="0.2">
      <c r="B367" s="6" t="s">
        <v>1206</v>
      </c>
      <c r="C367" s="6" t="s">
        <v>1207</v>
      </c>
      <c r="D367" s="6" t="s">
        <v>36</v>
      </c>
      <c r="E367" s="6" t="s">
        <v>37</v>
      </c>
      <c r="F367" s="6" t="s">
        <v>346</v>
      </c>
      <c r="G367" s="7" t="str">
        <f>HYPERLINK("https://www.google.com.au/maps/place/27° 23.052' S+153° 7.05' E","27° 23.052' S")</f>
        <v>27° 23.052' S</v>
      </c>
      <c r="H367" s="7" t="str">
        <f>HYPERLINK("https://www.google.com.au/maps/place/27° 23.052' S+153° 7.05' E","153° 7.05' E")</f>
        <v>153° 7.05' E</v>
      </c>
      <c r="I367" s="6" t="s">
        <v>101</v>
      </c>
      <c r="J367" s="6" t="s">
        <v>38</v>
      </c>
      <c r="K367" s="6" t="s">
        <v>39</v>
      </c>
      <c r="L367" s="6" t="s">
        <v>40</v>
      </c>
      <c r="M367" s="6" t="s">
        <v>41</v>
      </c>
      <c r="N367" s="6" t="s">
        <v>62</v>
      </c>
      <c r="O367" s="6" t="s">
        <v>43</v>
      </c>
      <c r="P367" s="8" t="s">
        <v>1208</v>
      </c>
      <c r="Q367" s="1" t="s">
        <v>33</v>
      </c>
    </row>
    <row r="368" spans="2:17" ht="33.75" x14ac:dyDescent="0.2">
      <c r="B368" s="6" t="s">
        <v>1209</v>
      </c>
      <c r="C368" s="6" t="s">
        <v>1210</v>
      </c>
      <c r="D368" s="6" t="s">
        <v>36</v>
      </c>
      <c r="E368" s="6" t="s">
        <v>37</v>
      </c>
      <c r="F368" s="6" t="s">
        <v>378</v>
      </c>
      <c r="G368" s="7" t="str">
        <f>HYPERLINK("https://www.google.com.au/maps/place/22° 3.468' S+148° 4.65' E","22° 3.468' S")</f>
        <v>22° 3.468' S</v>
      </c>
      <c r="H368" s="7" t="str">
        <f>HYPERLINK("https://www.google.com.au/maps/place/22° 3.468' S+148° 4.65' E","148° 4.65' E")</f>
        <v>148° 4.65' E</v>
      </c>
      <c r="I368" s="6" t="s">
        <v>101</v>
      </c>
      <c r="J368" s="6" t="s">
        <v>38</v>
      </c>
      <c r="K368" s="6" t="s">
        <v>39</v>
      </c>
      <c r="L368" s="6" t="s">
        <v>40</v>
      </c>
      <c r="M368" s="6" t="s">
        <v>41</v>
      </c>
      <c r="N368" s="6" t="s">
        <v>102</v>
      </c>
      <c r="O368" s="6" t="s">
        <v>103</v>
      </c>
      <c r="P368" s="8" t="s">
        <v>1211</v>
      </c>
      <c r="Q368" s="1" t="s">
        <v>33</v>
      </c>
    </row>
    <row r="369" spans="2:17" ht="409.5" x14ac:dyDescent="0.2">
      <c r="B369" s="6" t="s">
        <v>1212</v>
      </c>
      <c r="C369" s="6" t="s">
        <v>1213</v>
      </c>
      <c r="D369" s="6" t="s">
        <v>312</v>
      </c>
      <c r="E369" s="7" t="str">
        <f>HYPERLINK("http://www.atsb.gov.au/publications/investigation_reports/2014/aair/AO-2014-032.aspx","AO-2014-032")</f>
        <v>AO-2014-032</v>
      </c>
      <c r="F369" s="6" t="s">
        <v>1214</v>
      </c>
      <c r="G369" s="7" t="str">
        <f>HYPERLINK("https://www.google.com.au/maps/place/34° 1.122' S+150° 40.572' E","34° 1.122' S")</f>
        <v>34° 1.122' S</v>
      </c>
      <c r="H369" s="7" t="str">
        <f>HYPERLINK("https://www.google.com.au/maps/place/34° 1.122' S+150° 40.572' E","150° 40.572' E")</f>
        <v>150° 40.572' E</v>
      </c>
      <c r="I369" s="6" t="s">
        <v>25</v>
      </c>
      <c r="J369" s="6" t="s">
        <v>38</v>
      </c>
      <c r="K369" s="6" t="s">
        <v>39</v>
      </c>
      <c r="L369" s="6" t="s">
        <v>40</v>
      </c>
      <c r="M369" s="6" t="s">
        <v>41</v>
      </c>
      <c r="N369" s="6" t="s">
        <v>42</v>
      </c>
      <c r="O369" s="6" t="s">
        <v>43</v>
      </c>
      <c r="P369" s="8" t="s">
        <v>1215</v>
      </c>
      <c r="Q369" s="1" t="s">
        <v>1216</v>
      </c>
    </row>
    <row r="370" spans="2:17" ht="409.5" x14ac:dyDescent="0.2">
      <c r="B370" s="6" t="s">
        <v>1212</v>
      </c>
      <c r="C370" s="6" t="s">
        <v>1217</v>
      </c>
      <c r="D370" s="6" t="s">
        <v>312</v>
      </c>
      <c r="E370" s="7" t="str">
        <f>HYPERLINK("http://www.atsb.gov.au/publications/investigation_reports/2014/aair/AO-2014-032.aspx","AO-2014-032")</f>
        <v>AO-2014-032</v>
      </c>
      <c r="F370" s="6" t="s">
        <v>1218</v>
      </c>
      <c r="G370" s="7" t="str">
        <f>HYPERLINK("https://www.google.com.au/maps/place/34° 6.45' S+150° 42.402' E","34° 6.45' S")</f>
        <v>34° 6.45' S</v>
      </c>
      <c r="H370" s="7" t="str">
        <f>HYPERLINK("https://www.google.com.au/maps/place/34° 6.45' S+150° 42.402' E","150° 42.402' E")</f>
        <v>150° 42.402' E</v>
      </c>
      <c r="I370" s="6" t="s">
        <v>25</v>
      </c>
      <c r="J370" s="6" t="s">
        <v>38</v>
      </c>
      <c r="K370" s="6" t="s">
        <v>39</v>
      </c>
      <c r="L370" s="6" t="s">
        <v>40</v>
      </c>
      <c r="M370" s="6" t="s">
        <v>41</v>
      </c>
      <c r="N370" s="6" t="s">
        <v>42</v>
      </c>
      <c r="O370" s="6" t="s">
        <v>43</v>
      </c>
      <c r="P370" s="8" t="s">
        <v>1215</v>
      </c>
      <c r="Q370" s="1" t="s">
        <v>1216</v>
      </c>
    </row>
    <row r="371" spans="2:17" ht="33.75" x14ac:dyDescent="0.2">
      <c r="B371" s="6" t="s">
        <v>1219</v>
      </c>
      <c r="C371" s="6" t="s">
        <v>1220</v>
      </c>
      <c r="D371" s="6" t="s">
        <v>36</v>
      </c>
      <c r="E371" s="6" t="s">
        <v>37</v>
      </c>
      <c r="F371" s="6" t="s">
        <v>60</v>
      </c>
      <c r="G371" s="7" t="str">
        <f>HYPERLINK("https://www.google.com.au/maps/place/35° 18.42' S+149° 11.7' E","35° 18.42' S")</f>
        <v>35° 18.42' S</v>
      </c>
      <c r="H371" s="7" t="str">
        <f>HYPERLINK("https://www.google.com.au/maps/place/35° 18.42' S+149° 11.7' E","149° 11.7' E")</f>
        <v>149° 11.7' E</v>
      </c>
      <c r="I371" s="6" t="s">
        <v>61</v>
      </c>
      <c r="J371" s="6" t="s">
        <v>38</v>
      </c>
      <c r="K371" s="6" t="s">
        <v>39</v>
      </c>
      <c r="L371" s="6" t="s">
        <v>40</v>
      </c>
      <c r="M371" s="6" t="s">
        <v>41</v>
      </c>
      <c r="N371" s="6" t="s">
        <v>62</v>
      </c>
      <c r="O371" s="6" t="s">
        <v>43</v>
      </c>
      <c r="P371" s="8" t="s">
        <v>1221</v>
      </c>
      <c r="Q371" s="1" t="s">
        <v>33</v>
      </c>
    </row>
    <row r="372" spans="2:17" ht="33.75" x14ac:dyDescent="0.2">
      <c r="B372" s="6" t="s">
        <v>1222</v>
      </c>
      <c r="C372" s="6" t="s">
        <v>1223</v>
      </c>
      <c r="D372" s="6" t="s">
        <v>36</v>
      </c>
      <c r="E372" s="6" t="s">
        <v>37</v>
      </c>
      <c r="F372" s="6" t="s">
        <v>514</v>
      </c>
      <c r="G372" s="7" t="str">
        <f>HYPERLINK("https://www.google.com.au/maps/place/23° 52.182' S+151° 13.368' E","23° 52.182' S")</f>
        <v>23° 52.182' S</v>
      </c>
      <c r="H372" s="7" t="str">
        <f>HYPERLINK("https://www.google.com.au/maps/place/23° 52.182' S+151° 13.368' E","151° 13.368' E")</f>
        <v>151° 13.368' E</v>
      </c>
      <c r="I372" s="6" t="s">
        <v>101</v>
      </c>
      <c r="J372" s="6" t="s">
        <v>38</v>
      </c>
      <c r="K372" s="6" t="s">
        <v>39</v>
      </c>
      <c r="L372" s="6" t="s">
        <v>40</v>
      </c>
      <c r="M372" s="6" t="s">
        <v>41</v>
      </c>
      <c r="N372" s="6" t="s">
        <v>102</v>
      </c>
      <c r="O372" s="6" t="s">
        <v>103</v>
      </c>
      <c r="P372" s="8" t="s">
        <v>1224</v>
      </c>
      <c r="Q372" s="1" t="s">
        <v>33</v>
      </c>
    </row>
    <row r="373" spans="2:17" ht="33.75" x14ac:dyDescent="0.2">
      <c r="B373" s="6" t="s">
        <v>1225</v>
      </c>
      <c r="C373" s="6" t="s">
        <v>1226</v>
      </c>
      <c r="D373" s="6" t="s">
        <v>36</v>
      </c>
      <c r="E373" s="6" t="s">
        <v>37</v>
      </c>
      <c r="F373" s="6" t="s">
        <v>193</v>
      </c>
      <c r="G373" s="7" t="str">
        <f>HYPERLINK("https://www.google.com.au/maps/place/35° 18.42' S+149° 11.7' E","35° 18.42' S")</f>
        <v>35° 18.42' S</v>
      </c>
      <c r="H373" s="7" t="str">
        <f>HYPERLINK("https://www.google.com.au/maps/place/35° 18.42' S+149° 11.7' E","149° 11.7' E")</f>
        <v>149° 11.7' E</v>
      </c>
      <c r="I373" s="6" t="s">
        <v>61</v>
      </c>
      <c r="J373" s="6" t="s">
        <v>38</v>
      </c>
      <c r="K373" s="6" t="s">
        <v>39</v>
      </c>
      <c r="L373" s="6" t="s">
        <v>40</v>
      </c>
      <c r="M373" s="6" t="s">
        <v>41</v>
      </c>
      <c r="N373" s="6" t="s">
        <v>62</v>
      </c>
      <c r="O373" s="6" t="s">
        <v>43</v>
      </c>
      <c r="P373" s="8" t="s">
        <v>1227</v>
      </c>
      <c r="Q373" s="1" t="s">
        <v>33</v>
      </c>
    </row>
    <row r="374" spans="2:17" ht="33.75" x14ac:dyDescent="0.2">
      <c r="B374" s="6" t="s">
        <v>1225</v>
      </c>
      <c r="C374" s="6" t="s">
        <v>1228</v>
      </c>
      <c r="D374" s="6" t="s">
        <v>36</v>
      </c>
      <c r="E374" s="6" t="s">
        <v>37</v>
      </c>
      <c r="F374" s="6" t="s">
        <v>555</v>
      </c>
      <c r="G374" s="7" t="str">
        <f>HYPERLINK("https://www.google.com.au/maps/place/27° 23.052' S+153° 7.05' E","27° 23.052' S")</f>
        <v>27° 23.052' S</v>
      </c>
      <c r="H374" s="7" t="str">
        <f>HYPERLINK("https://www.google.com.au/maps/place/27° 23.052' S+153° 7.05' E","153° 7.05' E")</f>
        <v>153° 7.05' E</v>
      </c>
      <c r="I374" s="6" t="s">
        <v>101</v>
      </c>
      <c r="J374" s="6" t="s">
        <v>38</v>
      </c>
      <c r="K374" s="6" t="s">
        <v>39</v>
      </c>
      <c r="L374" s="6" t="s">
        <v>40</v>
      </c>
      <c r="M374" s="6" t="s">
        <v>41</v>
      </c>
      <c r="N374" s="6" t="s">
        <v>62</v>
      </c>
      <c r="O374" s="6" t="s">
        <v>43</v>
      </c>
      <c r="P374" s="8" t="s">
        <v>1229</v>
      </c>
      <c r="Q374" s="1" t="s">
        <v>33</v>
      </c>
    </row>
    <row r="375" spans="2:17" ht="33.75" x14ac:dyDescent="0.2">
      <c r="B375" s="6" t="s">
        <v>1230</v>
      </c>
      <c r="C375" s="6" t="s">
        <v>1231</v>
      </c>
      <c r="D375" s="6" t="s">
        <v>36</v>
      </c>
      <c r="E375" s="6" t="s">
        <v>37</v>
      </c>
      <c r="F375" s="6" t="s">
        <v>405</v>
      </c>
      <c r="G375" s="7" t="str">
        <f>HYPERLINK("https://www.google.com.au/maps/place/23° 22.92' S+150° 28.518' E","23° 22.92' S")</f>
        <v>23° 22.92' S</v>
      </c>
      <c r="H375" s="7" t="str">
        <f>HYPERLINK("https://www.google.com.au/maps/place/23° 22.92' S+150° 28.518' E","150° 28.518' E")</f>
        <v>150° 28.518' E</v>
      </c>
      <c r="I375" s="6" t="s">
        <v>101</v>
      </c>
      <c r="J375" s="6" t="s">
        <v>38</v>
      </c>
      <c r="K375" s="6" t="s">
        <v>39</v>
      </c>
      <c r="L375" s="6" t="s">
        <v>40</v>
      </c>
      <c r="M375" s="6" t="s">
        <v>41</v>
      </c>
      <c r="N375" s="6" t="s">
        <v>102</v>
      </c>
      <c r="O375" s="6" t="s">
        <v>103</v>
      </c>
      <c r="P375" s="8" t="s">
        <v>1232</v>
      </c>
      <c r="Q375" s="1" t="s">
        <v>33</v>
      </c>
    </row>
    <row r="376" spans="2:17" ht="33.75" x14ac:dyDescent="0.2">
      <c r="B376" s="6" t="s">
        <v>1233</v>
      </c>
      <c r="C376" s="6" t="s">
        <v>1234</v>
      </c>
      <c r="D376" s="6" t="s">
        <v>36</v>
      </c>
      <c r="E376" s="6" t="s">
        <v>37</v>
      </c>
      <c r="F376" s="6" t="s">
        <v>346</v>
      </c>
      <c r="G376" s="7" t="str">
        <f>HYPERLINK("https://www.google.com.au/maps/place/27° 23.052' S+153° 7.05' E","27° 23.052' S")</f>
        <v>27° 23.052' S</v>
      </c>
      <c r="H376" s="7" t="str">
        <f>HYPERLINK("https://www.google.com.au/maps/place/27° 23.052' S+153° 7.05' E","153° 7.05' E")</f>
        <v>153° 7.05' E</v>
      </c>
      <c r="I376" s="6" t="s">
        <v>101</v>
      </c>
      <c r="J376" s="6" t="s">
        <v>38</v>
      </c>
      <c r="K376" s="6" t="s">
        <v>39</v>
      </c>
      <c r="L376" s="6" t="s">
        <v>40</v>
      </c>
      <c r="M376" s="6" t="s">
        <v>41</v>
      </c>
      <c r="N376" s="6" t="s">
        <v>62</v>
      </c>
      <c r="O376" s="6" t="s">
        <v>43</v>
      </c>
      <c r="P376" s="8" t="s">
        <v>1235</v>
      </c>
      <c r="Q376" s="1" t="s">
        <v>33</v>
      </c>
    </row>
    <row r="377" spans="2:17" ht="33.75" x14ac:dyDescent="0.2">
      <c r="B377" s="6" t="s">
        <v>1236</v>
      </c>
      <c r="C377" s="6" t="s">
        <v>1237</v>
      </c>
      <c r="D377" s="6" t="s">
        <v>36</v>
      </c>
      <c r="E377" s="6" t="s">
        <v>37</v>
      </c>
      <c r="F377" s="6" t="s">
        <v>346</v>
      </c>
      <c r="G377" s="7" t="str">
        <f>HYPERLINK("https://www.google.com.au/maps/place/27° 23.052' S+153° 7.05' E","27° 23.052' S")</f>
        <v>27° 23.052' S</v>
      </c>
      <c r="H377" s="7" t="str">
        <f>HYPERLINK("https://www.google.com.au/maps/place/27° 23.052' S+153° 7.05' E","153° 7.05' E")</f>
        <v>153° 7.05' E</v>
      </c>
      <c r="I377" s="6" t="s">
        <v>101</v>
      </c>
      <c r="J377" s="6" t="s">
        <v>38</v>
      </c>
      <c r="K377" s="6" t="s">
        <v>39</v>
      </c>
      <c r="L377" s="6" t="s">
        <v>40</v>
      </c>
      <c r="M377" s="6" t="s">
        <v>41</v>
      </c>
      <c r="N377" s="6" t="s">
        <v>62</v>
      </c>
      <c r="O377" s="6" t="s">
        <v>43</v>
      </c>
      <c r="P377" s="8" t="s">
        <v>1238</v>
      </c>
      <c r="Q377" s="1" t="s">
        <v>33</v>
      </c>
    </row>
    <row r="378" spans="2:17" ht="33.75" x14ac:dyDescent="0.2">
      <c r="B378" s="6" t="s">
        <v>1239</v>
      </c>
      <c r="C378" s="6" t="s">
        <v>1240</v>
      </c>
      <c r="D378" s="6" t="s">
        <v>36</v>
      </c>
      <c r="E378" s="6" t="s">
        <v>37</v>
      </c>
      <c r="F378" s="6" t="s">
        <v>1030</v>
      </c>
      <c r="G378" s="7" t="str">
        <f>HYPERLINK("https://www.google.com.au/maps/place/23° 34.05' S+148° 10.752' E","23° 34.05' S")</f>
        <v>23° 34.05' S</v>
      </c>
      <c r="H378" s="7" t="str">
        <f>HYPERLINK("https://www.google.com.au/maps/place/23° 34.05' S+148° 10.752' E","148° 10.752' E")</f>
        <v>148° 10.752' E</v>
      </c>
      <c r="I378" s="6" t="s">
        <v>101</v>
      </c>
      <c r="J378" s="6" t="s">
        <v>38</v>
      </c>
      <c r="K378" s="6" t="s">
        <v>39</v>
      </c>
      <c r="L378" s="6" t="s">
        <v>40</v>
      </c>
      <c r="M378" s="6" t="s">
        <v>41</v>
      </c>
      <c r="N378" s="6" t="s">
        <v>102</v>
      </c>
      <c r="O378" s="6" t="s">
        <v>103</v>
      </c>
      <c r="P378" s="8" t="s">
        <v>1241</v>
      </c>
      <c r="Q378" s="1" t="s">
        <v>33</v>
      </c>
    </row>
    <row r="379" spans="2:17" ht="33.75" x14ac:dyDescent="0.2">
      <c r="B379" s="6" t="s">
        <v>1239</v>
      </c>
      <c r="C379" s="6" t="s">
        <v>1242</v>
      </c>
      <c r="D379" s="6" t="s">
        <v>36</v>
      </c>
      <c r="E379" s="6" t="s">
        <v>37</v>
      </c>
      <c r="F379" s="6" t="s">
        <v>555</v>
      </c>
      <c r="G379" s="7" t="str">
        <f>HYPERLINK("https://www.google.com.au/maps/place/27° 23.052' S+153° 7.05' E","27° 23.052' S")</f>
        <v>27° 23.052' S</v>
      </c>
      <c r="H379" s="7" t="str">
        <f>HYPERLINK("https://www.google.com.au/maps/place/27° 23.052' S+153° 7.05' E","153° 7.05' E")</f>
        <v>153° 7.05' E</v>
      </c>
      <c r="I379" s="6" t="s">
        <v>101</v>
      </c>
      <c r="J379" s="6" t="s">
        <v>38</v>
      </c>
      <c r="K379" s="6" t="s">
        <v>39</v>
      </c>
      <c r="L379" s="6" t="s">
        <v>40</v>
      </c>
      <c r="M379" s="6" t="s">
        <v>41</v>
      </c>
      <c r="N379" s="6" t="s">
        <v>42</v>
      </c>
      <c r="O379" s="6" t="s">
        <v>43</v>
      </c>
      <c r="P379" s="8" t="s">
        <v>1243</v>
      </c>
      <c r="Q379" s="1" t="s">
        <v>33</v>
      </c>
    </row>
    <row r="380" spans="2:17" ht="33.75" x14ac:dyDescent="0.2">
      <c r="B380" s="6" t="s">
        <v>1244</v>
      </c>
      <c r="C380" s="6" t="s">
        <v>1245</v>
      </c>
      <c r="D380" s="6" t="s">
        <v>36</v>
      </c>
      <c r="E380" s="6" t="s">
        <v>37</v>
      </c>
      <c r="F380" s="6" t="s">
        <v>60</v>
      </c>
      <c r="G380" s="7" t="str">
        <f>HYPERLINK("https://www.google.com.au/maps/place/35° 18.42' S+149° 11.7' E","35° 18.42' S")</f>
        <v>35° 18.42' S</v>
      </c>
      <c r="H380" s="7" t="str">
        <f>HYPERLINK("https://www.google.com.au/maps/place/35° 18.42' S+149° 11.7' E","149° 11.7' E")</f>
        <v>149° 11.7' E</v>
      </c>
      <c r="I380" s="6" t="s">
        <v>61</v>
      </c>
      <c r="J380" s="6" t="s">
        <v>38</v>
      </c>
      <c r="K380" s="6" t="s">
        <v>39</v>
      </c>
      <c r="L380" s="6" t="s">
        <v>40</v>
      </c>
      <c r="M380" s="6" t="s">
        <v>41</v>
      </c>
      <c r="N380" s="6" t="s">
        <v>42</v>
      </c>
      <c r="O380" s="6" t="s">
        <v>43</v>
      </c>
      <c r="P380" s="8" t="s">
        <v>1246</v>
      </c>
      <c r="Q380" s="1" t="s">
        <v>33</v>
      </c>
    </row>
    <row r="381" spans="2:17" ht="33.75" x14ac:dyDescent="0.2">
      <c r="B381" s="6" t="s">
        <v>1247</v>
      </c>
      <c r="C381" s="6" t="s">
        <v>1248</v>
      </c>
      <c r="D381" s="6" t="s">
        <v>36</v>
      </c>
      <c r="E381" s="6" t="s">
        <v>37</v>
      </c>
      <c r="F381" s="6" t="s">
        <v>60</v>
      </c>
      <c r="G381" s="7" t="str">
        <f>HYPERLINK("https://www.google.com.au/maps/place/35° 18.42' S+149° 11.7' E","35° 18.42' S")</f>
        <v>35° 18.42' S</v>
      </c>
      <c r="H381" s="7" t="str">
        <f>HYPERLINK("https://www.google.com.au/maps/place/35° 18.42' S+149° 11.7' E","149° 11.7' E")</f>
        <v>149° 11.7' E</v>
      </c>
      <c r="I381" s="6" t="s">
        <v>61</v>
      </c>
      <c r="J381" s="6" t="s">
        <v>38</v>
      </c>
      <c r="K381" s="6" t="s">
        <v>39</v>
      </c>
      <c r="L381" s="6" t="s">
        <v>40</v>
      </c>
      <c r="M381" s="6" t="s">
        <v>41</v>
      </c>
      <c r="N381" s="6" t="s">
        <v>62</v>
      </c>
      <c r="O381" s="6" t="s">
        <v>43</v>
      </c>
      <c r="P381" s="8" t="s">
        <v>1249</v>
      </c>
      <c r="Q381" s="1" t="s">
        <v>33</v>
      </c>
    </row>
    <row r="382" spans="2:17" ht="33.75" x14ac:dyDescent="0.2">
      <c r="B382" s="6" t="s">
        <v>1250</v>
      </c>
      <c r="C382" s="6" t="s">
        <v>1251</v>
      </c>
      <c r="D382" s="6" t="s">
        <v>36</v>
      </c>
      <c r="E382" s="6" t="s">
        <v>37</v>
      </c>
      <c r="F382" s="6" t="s">
        <v>24</v>
      </c>
      <c r="G382" s="7" t="str">
        <f>HYPERLINK("https://www.google.com.au/maps/place/33° 56.772' S+151° 10.632' E","33° 56.772' S")</f>
        <v>33° 56.772' S</v>
      </c>
      <c r="H382" s="7" t="str">
        <f>HYPERLINK("https://www.google.com.au/maps/place/33° 56.772' S+151° 10.632' E","151° 10.632' E")</f>
        <v>151° 10.632' E</v>
      </c>
      <c r="I382" s="6" t="s">
        <v>25</v>
      </c>
      <c r="J382" s="6" t="s">
        <v>38</v>
      </c>
      <c r="K382" s="6" t="s">
        <v>39</v>
      </c>
      <c r="L382" s="6" t="s">
        <v>40</v>
      </c>
      <c r="M382" s="6" t="s">
        <v>41</v>
      </c>
      <c r="N382" s="6" t="s">
        <v>62</v>
      </c>
      <c r="O382" s="6" t="s">
        <v>43</v>
      </c>
      <c r="P382" s="8" t="s">
        <v>1252</v>
      </c>
      <c r="Q382" s="1" t="s">
        <v>33</v>
      </c>
    </row>
    <row r="383" spans="2:17" ht="33.75" x14ac:dyDescent="0.2">
      <c r="B383" s="6" t="s">
        <v>1253</v>
      </c>
      <c r="C383" s="6" t="s">
        <v>1254</v>
      </c>
      <c r="D383" s="6" t="s">
        <v>36</v>
      </c>
      <c r="E383" s="6" t="s">
        <v>37</v>
      </c>
      <c r="F383" s="6" t="s">
        <v>555</v>
      </c>
      <c r="G383" s="7" t="str">
        <f>HYPERLINK("https://www.google.com.au/maps/place/27° 23.052' S+153° 7.05' E","27° 23.052' S")</f>
        <v>27° 23.052' S</v>
      </c>
      <c r="H383" s="7" t="str">
        <f>HYPERLINK("https://www.google.com.au/maps/place/27° 23.052' S+153° 7.05' E","153° 7.05' E")</f>
        <v>153° 7.05' E</v>
      </c>
      <c r="I383" s="6" t="s">
        <v>101</v>
      </c>
      <c r="J383" s="6" t="s">
        <v>38</v>
      </c>
      <c r="K383" s="6" t="s">
        <v>39</v>
      </c>
      <c r="L383" s="6" t="s">
        <v>40</v>
      </c>
      <c r="M383" s="6" t="s">
        <v>41</v>
      </c>
      <c r="N383" s="6" t="s">
        <v>42</v>
      </c>
      <c r="O383" s="6" t="s">
        <v>43</v>
      </c>
      <c r="P383" s="8" t="s">
        <v>1255</v>
      </c>
      <c r="Q383" s="1" t="s">
        <v>33</v>
      </c>
    </row>
    <row r="384" spans="2:17" ht="33.75" x14ac:dyDescent="0.2">
      <c r="B384" s="6" t="s">
        <v>1256</v>
      </c>
      <c r="C384" s="6" t="s">
        <v>1257</v>
      </c>
      <c r="D384" s="6" t="s">
        <v>36</v>
      </c>
      <c r="E384" s="6" t="s">
        <v>37</v>
      </c>
      <c r="F384" s="6" t="s">
        <v>1258</v>
      </c>
      <c r="G384" s="7" t="str">
        <f>HYPERLINK("https://www.google.com.au/maps/place/24° 54.228' S+152° 19.122' E","24° 54.228' S")</f>
        <v>24° 54.228' S</v>
      </c>
      <c r="H384" s="7" t="str">
        <f>HYPERLINK("https://www.google.com.au/maps/place/24° 54.228' S+152° 19.122' E","152° 19.122' E")</f>
        <v>152° 19.122' E</v>
      </c>
      <c r="I384" s="6" t="s">
        <v>101</v>
      </c>
      <c r="J384" s="6" t="s">
        <v>38</v>
      </c>
      <c r="K384" s="6" t="s">
        <v>39</v>
      </c>
      <c r="L384" s="6" t="s">
        <v>40</v>
      </c>
      <c r="M384" s="6" t="s">
        <v>41</v>
      </c>
      <c r="N384" s="6" t="s">
        <v>42</v>
      </c>
      <c r="O384" s="6" t="s">
        <v>461</v>
      </c>
      <c r="P384" s="8" t="s">
        <v>1259</v>
      </c>
      <c r="Q384" s="1" t="s">
        <v>33</v>
      </c>
    </row>
    <row r="385" spans="2:17" ht="33.75" x14ac:dyDescent="0.2">
      <c r="B385" s="6" t="s">
        <v>1260</v>
      </c>
      <c r="C385" s="6" t="s">
        <v>1261</v>
      </c>
      <c r="D385" s="6" t="s">
        <v>36</v>
      </c>
      <c r="E385" s="6" t="s">
        <v>37</v>
      </c>
      <c r="F385" s="6" t="s">
        <v>555</v>
      </c>
      <c r="G385" s="7" t="str">
        <f>HYPERLINK("https://www.google.com.au/maps/place/27° 23.052' S+153° 7.05' E","27° 23.052' S")</f>
        <v>27° 23.052' S</v>
      </c>
      <c r="H385" s="7" t="str">
        <f>HYPERLINK("https://www.google.com.au/maps/place/27° 23.052' S+153° 7.05' E","153° 7.05' E")</f>
        <v>153° 7.05' E</v>
      </c>
      <c r="I385" s="6" t="s">
        <v>101</v>
      </c>
      <c r="J385" s="6" t="s">
        <v>38</v>
      </c>
      <c r="K385" s="6" t="s">
        <v>39</v>
      </c>
      <c r="L385" s="6" t="s">
        <v>40</v>
      </c>
      <c r="M385" s="6" t="s">
        <v>41</v>
      </c>
      <c r="N385" s="6" t="s">
        <v>62</v>
      </c>
      <c r="O385" s="6" t="s">
        <v>43</v>
      </c>
      <c r="P385" s="8" t="s">
        <v>1262</v>
      </c>
      <c r="Q385" s="1" t="s">
        <v>33</v>
      </c>
    </row>
    <row r="386" spans="2:17" ht="33.75" x14ac:dyDescent="0.2">
      <c r="B386" s="6" t="s">
        <v>1263</v>
      </c>
      <c r="C386" s="6" t="s">
        <v>1264</v>
      </c>
      <c r="D386" s="6" t="s">
        <v>36</v>
      </c>
      <c r="E386" s="6" t="s">
        <v>37</v>
      </c>
      <c r="F386" s="6" t="s">
        <v>187</v>
      </c>
      <c r="G386" s="7" t="str">
        <f>HYPERLINK("https://www.google.com.au/maps/place/31° 26.148' S+152° 51.798' E","31° 26.148' S")</f>
        <v>31° 26.148' S</v>
      </c>
      <c r="H386" s="7" t="str">
        <f>HYPERLINK("https://www.google.com.au/maps/place/31° 26.148' S+152° 51.798' E","152° 51.798' E")</f>
        <v>152° 51.798' E</v>
      </c>
      <c r="I386" s="6" t="s">
        <v>25</v>
      </c>
      <c r="J386" s="6" t="s">
        <v>38</v>
      </c>
      <c r="K386" s="6" t="s">
        <v>39</v>
      </c>
      <c r="L386" s="6" t="s">
        <v>40</v>
      </c>
      <c r="M386" s="6" t="s">
        <v>41</v>
      </c>
      <c r="N386" s="6" t="s">
        <v>102</v>
      </c>
      <c r="O386" s="6" t="s">
        <v>103</v>
      </c>
      <c r="P386" s="8" t="s">
        <v>1265</v>
      </c>
      <c r="Q386" s="1" t="s">
        <v>33</v>
      </c>
    </row>
    <row r="387" spans="2:17" ht="45" x14ac:dyDescent="0.2">
      <c r="B387" s="6" t="s">
        <v>1266</v>
      </c>
      <c r="C387" s="6" t="s">
        <v>1267</v>
      </c>
      <c r="D387" s="6" t="s">
        <v>36</v>
      </c>
      <c r="E387" s="6" t="s">
        <v>37</v>
      </c>
      <c r="F387" s="6" t="s">
        <v>405</v>
      </c>
      <c r="G387" s="7" t="str">
        <f>HYPERLINK("https://www.google.com.au/maps/place/23° 22.92' S+150° 28.518' E","23° 22.92' S")</f>
        <v>23° 22.92' S</v>
      </c>
      <c r="H387" s="7" t="str">
        <f>HYPERLINK("https://www.google.com.au/maps/place/23° 22.92' S+150° 28.518' E","150° 28.518' E")</f>
        <v>150° 28.518' E</v>
      </c>
      <c r="I387" s="6" t="s">
        <v>101</v>
      </c>
      <c r="J387" s="6" t="s">
        <v>38</v>
      </c>
      <c r="K387" s="6" t="s">
        <v>39</v>
      </c>
      <c r="L387" s="6" t="s">
        <v>40</v>
      </c>
      <c r="M387" s="6" t="s">
        <v>41</v>
      </c>
      <c r="N387" s="6" t="s">
        <v>62</v>
      </c>
      <c r="O387" s="6" t="s">
        <v>71</v>
      </c>
      <c r="P387" s="8" t="s">
        <v>1268</v>
      </c>
      <c r="Q387" s="1" t="s">
        <v>33</v>
      </c>
    </row>
    <row r="388" spans="2:17" ht="45" x14ac:dyDescent="0.2">
      <c r="B388" s="6" t="s">
        <v>1269</v>
      </c>
      <c r="C388" s="6" t="s">
        <v>1270</v>
      </c>
      <c r="D388" s="6" t="s">
        <v>36</v>
      </c>
      <c r="E388" s="6" t="s">
        <v>37</v>
      </c>
      <c r="F388" s="6" t="s">
        <v>346</v>
      </c>
      <c r="G388" s="7" t="str">
        <f>HYPERLINK("https://www.google.com.au/maps/place/27° 23.052' S+153° 7.05' E","27° 23.052' S")</f>
        <v>27° 23.052' S</v>
      </c>
      <c r="H388" s="7" t="str">
        <f>HYPERLINK("https://www.google.com.au/maps/place/27° 23.052' S+153° 7.05' E","153° 7.05' E")</f>
        <v>153° 7.05' E</v>
      </c>
      <c r="I388" s="6" t="s">
        <v>101</v>
      </c>
      <c r="J388" s="6" t="s">
        <v>38</v>
      </c>
      <c r="K388" s="6" t="s">
        <v>39</v>
      </c>
      <c r="L388" s="6" t="s">
        <v>40</v>
      </c>
      <c r="M388" s="6" t="s">
        <v>41</v>
      </c>
      <c r="N388" s="6" t="s">
        <v>62</v>
      </c>
      <c r="O388" s="6" t="s">
        <v>43</v>
      </c>
      <c r="P388" s="8" t="s">
        <v>1271</v>
      </c>
      <c r="Q388" s="1" t="s">
        <v>33</v>
      </c>
    </row>
    <row r="389" spans="2:17" ht="33.75" x14ac:dyDescent="0.2">
      <c r="B389" s="6" t="s">
        <v>1272</v>
      </c>
      <c r="C389" s="6" t="s">
        <v>1273</v>
      </c>
      <c r="D389" s="6" t="s">
        <v>36</v>
      </c>
      <c r="E389" s="6" t="s">
        <v>37</v>
      </c>
      <c r="F389" s="6" t="s">
        <v>60</v>
      </c>
      <c r="G389" s="7" t="str">
        <f>HYPERLINK("https://www.google.com.au/maps/place/35° 18.42' S+149° 11.7' E","35° 18.42' S")</f>
        <v>35° 18.42' S</v>
      </c>
      <c r="H389" s="7" t="str">
        <f>HYPERLINK("https://www.google.com.au/maps/place/35° 18.42' S+149° 11.7' E","149° 11.7' E")</f>
        <v>149° 11.7' E</v>
      </c>
      <c r="I389" s="6" t="s">
        <v>61</v>
      </c>
      <c r="J389" s="6" t="s">
        <v>38</v>
      </c>
      <c r="K389" s="6" t="s">
        <v>39</v>
      </c>
      <c r="L389" s="6" t="s">
        <v>40</v>
      </c>
      <c r="M389" s="6" t="s">
        <v>41</v>
      </c>
      <c r="N389" s="6" t="s">
        <v>62</v>
      </c>
      <c r="O389" s="6" t="s">
        <v>43</v>
      </c>
      <c r="P389" s="8" t="s">
        <v>1274</v>
      </c>
      <c r="Q389" s="1" t="s">
        <v>33</v>
      </c>
    </row>
    <row r="390" spans="2:17" ht="33.75" x14ac:dyDescent="0.2">
      <c r="B390" s="6" t="s">
        <v>1275</v>
      </c>
      <c r="C390" s="6" t="s">
        <v>1276</v>
      </c>
      <c r="D390" s="6" t="s">
        <v>36</v>
      </c>
      <c r="E390" s="6" t="s">
        <v>37</v>
      </c>
      <c r="F390" s="6" t="s">
        <v>514</v>
      </c>
      <c r="G390" s="7" t="str">
        <f>HYPERLINK("https://www.google.com.au/maps/place/23° 52.182' S+151° 13.368' E","23° 52.182' S")</f>
        <v>23° 52.182' S</v>
      </c>
      <c r="H390" s="7" t="str">
        <f>HYPERLINK("https://www.google.com.au/maps/place/23° 52.182' S+151° 13.368' E","151° 13.368' E")</f>
        <v>151° 13.368' E</v>
      </c>
      <c r="I390" s="6" t="s">
        <v>101</v>
      </c>
      <c r="J390" s="6" t="s">
        <v>38</v>
      </c>
      <c r="K390" s="6" t="s">
        <v>39</v>
      </c>
      <c r="L390" s="6" t="s">
        <v>40</v>
      </c>
      <c r="M390" s="6" t="s">
        <v>41</v>
      </c>
      <c r="N390" s="6" t="s">
        <v>102</v>
      </c>
      <c r="O390" s="6" t="s">
        <v>103</v>
      </c>
      <c r="P390" s="8" t="s">
        <v>104</v>
      </c>
      <c r="Q390" s="1" t="s">
        <v>33</v>
      </c>
    </row>
    <row r="391" spans="2:17" ht="56.25" x14ac:dyDescent="0.2">
      <c r="B391" s="6" t="s">
        <v>1275</v>
      </c>
      <c r="C391" s="6" t="s">
        <v>1277</v>
      </c>
      <c r="D391" s="6" t="s">
        <v>36</v>
      </c>
      <c r="E391" s="6" t="s">
        <v>37</v>
      </c>
      <c r="F391" s="6" t="s">
        <v>1278</v>
      </c>
      <c r="G391" s="7" t="str">
        <f>HYPERLINK("https://www.google.com.au/maps/place/31° 45.732' S+152° 46.848' E","31° 45.732' S")</f>
        <v>31° 45.732' S</v>
      </c>
      <c r="H391" s="7" t="str">
        <f>HYPERLINK("https://www.google.com.au/maps/place/31° 45.732' S+152° 46.848' E","152° 46.848' E")</f>
        <v>152° 46.848' E</v>
      </c>
      <c r="I391" s="6" t="s">
        <v>25</v>
      </c>
      <c r="J391" s="6" t="s">
        <v>626</v>
      </c>
      <c r="K391" s="6" t="s">
        <v>627</v>
      </c>
      <c r="L391" s="6" t="s">
        <v>221</v>
      </c>
      <c r="M391" s="6" t="s">
        <v>54</v>
      </c>
      <c r="N391" s="6" t="s">
        <v>86</v>
      </c>
      <c r="O391" s="6" t="s">
        <v>31</v>
      </c>
      <c r="P391" s="8" t="s">
        <v>1279</v>
      </c>
      <c r="Q391" s="1" t="s">
        <v>33</v>
      </c>
    </row>
    <row r="392" spans="2:17" ht="33.75" x14ac:dyDescent="0.2">
      <c r="B392" s="6" t="s">
        <v>1275</v>
      </c>
      <c r="C392" s="6" t="s">
        <v>1280</v>
      </c>
      <c r="D392" s="6" t="s">
        <v>36</v>
      </c>
      <c r="E392" s="6" t="s">
        <v>37</v>
      </c>
      <c r="F392" s="6" t="s">
        <v>346</v>
      </c>
      <c r="G392" s="7" t="str">
        <f>HYPERLINK("https://www.google.com.au/maps/place/27° 23.052' S+153° 7.05' E","27° 23.052' S")</f>
        <v>27° 23.052' S</v>
      </c>
      <c r="H392" s="7" t="str">
        <f>HYPERLINK("https://www.google.com.au/maps/place/27° 23.052' S+153° 7.05' E","153° 7.05' E")</f>
        <v>153° 7.05' E</v>
      </c>
      <c r="I392" s="6" t="s">
        <v>101</v>
      </c>
      <c r="J392" s="6" t="s">
        <v>38</v>
      </c>
      <c r="K392" s="6" t="s">
        <v>39</v>
      </c>
      <c r="L392" s="6" t="s">
        <v>40</v>
      </c>
      <c r="M392" s="6" t="s">
        <v>41</v>
      </c>
      <c r="N392" s="6" t="s">
        <v>102</v>
      </c>
      <c r="O392" s="6" t="s">
        <v>103</v>
      </c>
      <c r="P392" s="8" t="s">
        <v>104</v>
      </c>
      <c r="Q392" s="1" t="s">
        <v>33</v>
      </c>
    </row>
    <row r="393" spans="2:17" ht="33.75" x14ac:dyDescent="0.2">
      <c r="B393" s="6" t="s">
        <v>1281</v>
      </c>
      <c r="C393" s="6" t="s">
        <v>1282</v>
      </c>
      <c r="D393" s="6" t="s">
        <v>36</v>
      </c>
      <c r="E393" s="6" t="s">
        <v>37</v>
      </c>
      <c r="F393" s="6" t="s">
        <v>60</v>
      </c>
      <c r="G393" s="7" t="str">
        <f>HYPERLINK("https://www.google.com.au/maps/place/35° 18.42' S+149° 11.7' E","35° 18.42' S")</f>
        <v>35° 18.42' S</v>
      </c>
      <c r="H393" s="7" t="str">
        <f>HYPERLINK("https://www.google.com.au/maps/place/35° 18.42' S+149° 11.7' E","149° 11.7' E")</f>
        <v>149° 11.7' E</v>
      </c>
      <c r="I393" s="6" t="s">
        <v>61</v>
      </c>
      <c r="J393" s="6" t="s">
        <v>38</v>
      </c>
      <c r="K393" s="6" t="s">
        <v>39</v>
      </c>
      <c r="L393" s="6" t="s">
        <v>40</v>
      </c>
      <c r="M393" s="6" t="s">
        <v>41</v>
      </c>
      <c r="N393" s="6" t="s">
        <v>62</v>
      </c>
      <c r="O393" s="6" t="s">
        <v>43</v>
      </c>
      <c r="P393" s="8" t="s">
        <v>1283</v>
      </c>
      <c r="Q393" s="1" t="s">
        <v>33</v>
      </c>
    </row>
    <row r="394" spans="2:17" ht="33.75" x14ac:dyDescent="0.2">
      <c r="B394" s="6" t="s">
        <v>1284</v>
      </c>
      <c r="C394" s="6" t="s">
        <v>1285</v>
      </c>
      <c r="D394" s="6" t="s">
        <v>36</v>
      </c>
      <c r="E394" s="6" t="s">
        <v>37</v>
      </c>
      <c r="F394" s="6" t="s">
        <v>555</v>
      </c>
      <c r="G394" s="7" t="str">
        <f>HYPERLINK("https://www.google.com.au/maps/place/27° 23.052' S+153° 7.05' E","27° 23.052' S")</f>
        <v>27° 23.052' S</v>
      </c>
      <c r="H394" s="7" t="str">
        <f>HYPERLINK("https://www.google.com.au/maps/place/27° 23.052' S+153° 7.05' E","153° 7.05' E")</f>
        <v>153° 7.05' E</v>
      </c>
      <c r="I394" s="6" t="s">
        <v>101</v>
      </c>
      <c r="J394" s="6" t="s">
        <v>38</v>
      </c>
      <c r="K394" s="6" t="s">
        <v>39</v>
      </c>
      <c r="L394" s="6" t="s">
        <v>40</v>
      </c>
      <c r="M394" s="6" t="s">
        <v>41</v>
      </c>
      <c r="N394" s="6" t="s">
        <v>42</v>
      </c>
      <c r="O394" s="6" t="s">
        <v>43</v>
      </c>
      <c r="P394" s="8" t="s">
        <v>1286</v>
      </c>
      <c r="Q394" s="1" t="s">
        <v>33</v>
      </c>
    </row>
    <row r="395" spans="2:17" ht="33.75" x14ac:dyDescent="0.2">
      <c r="B395" s="6" t="s">
        <v>1284</v>
      </c>
      <c r="C395" s="6" t="s">
        <v>1287</v>
      </c>
      <c r="D395" s="6" t="s">
        <v>36</v>
      </c>
      <c r="E395" s="6" t="s">
        <v>37</v>
      </c>
      <c r="F395" s="6" t="s">
        <v>346</v>
      </c>
      <c r="G395" s="7" t="str">
        <f>HYPERLINK("https://www.google.com.au/maps/place/27° 23.052' S+153° 7.05' E","27° 23.052' S")</f>
        <v>27° 23.052' S</v>
      </c>
      <c r="H395" s="7" t="str">
        <f>HYPERLINK("https://www.google.com.au/maps/place/27° 23.052' S+153° 7.05' E","153° 7.05' E")</f>
        <v>153° 7.05' E</v>
      </c>
      <c r="I395" s="6" t="s">
        <v>101</v>
      </c>
      <c r="J395" s="6" t="s">
        <v>38</v>
      </c>
      <c r="K395" s="6" t="s">
        <v>39</v>
      </c>
      <c r="L395" s="6" t="s">
        <v>40</v>
      </c>
      <c r="M395" s="6" t="s">
        <v>41</v>
      </c>
      <c r="N395" s="6" t="s">
        <v>62</v>
      </c>
      <c r="O395" s="6" t="s">
        <v>43</v>
      </c>
      <c r="P395" s="8" t="s">
        <v>1288</v>
      </c>
      <c r="Q395" s="1" t="s">
        <v>33</v>
      </c>
    </row>
    <row r="396" spans="2:17" ht="33.75" x14ac:dyDescent="0.2">
      <c r="B396" s="6" t="s">
        <v>1289</v>
      </c>
      <c r="C396" s="6" t="s">
        <v>1290</v>
      </c>
      <c r="D396" s="6" t="s">
        <v>36</v>
      </c>
      <c r="E396" s="6" t="s">
        <v>37</v>
      </c>
      <c r="F396" s="6" t="s">
        <v>503</v>
      </c>
      <c r="G396" s="7" t="str">
        <f>HYPERLINK("https://www.google.com.au/maps/place/22° 3.468' S+148° 4.65' E","22° 3.468' S")</f>
        <v>22° 3.468' S</v>
      </c>
      <c r="H396" s="7" t="str">
        <f>HYPERLINK("https://www.google.com.au/maps/place/22° 3.468' S+148° 4.65' E","148° 4.65' E")</f>
        <v>148° 4.65' E</v>
      </c>
      <c r="I396" s="6" t="s">
        <v>101</v>
      </c>
      <c r="J396" s="6" t="s">
        <v>38</v>
      </c>
      <c r="K396" s="6" t="s">
        <v>39</v>
      </c>
      <c r="L396" s="6" t="s">
        <v>40</v>
      </c>
      <c r="M396" s="6" t="s">
        <v>41</v>
      </c>
      <c r="N396" s="6" t="s">
        <v>102</v>
      </c>
      <c r="O396" s="6" t="s">
        <v>103</v>
      </c>
      <c r="P396" s="8" t="s">
        <v>1291</v>
      </c>
      <c r="Q396" s="1" t="s">
        <v>33</v>
      </c>
    </row>
    <row r="397" spans="2:17" ht="33.75" x14ac:dyDescent="0.2">
      <c r="B397" s="6" t="s">
        <v>1292</v>
      </c>
      <c r="C397" s="6" t="s">
        <v>1293</v>
      </c>
      <c r="D397" s="6" t="s">
        <v>36</v>
      </c>
      <c r="E397" s="6" t="s">
        <v>37</v>
      </c>
      <c r="F397" s="6" t="s">
        <v>346</v>
      </c>
      <c r="G397" s="7" t="str">
        <f>HYPERLINK("https://www.google.com.au/maps/place/27° 23.052' S+153° 7.05' E","27° 23.052' S")</f>
        <v>27° 23.052' S</v>
      </c>
      <c r="H397" s="7" t="str">
        <f>HYPERLINK("https://www.google.com.au/maps/place/27° 23.052' S+153° 7.05' E","153° 7.05' E")</f>
        <v>153° 7.05' E</v>
      </c>
      <c r="I397" s="6" t="s">
        <v>101</v>
      </c>
      <c r="J397" s="6" t="s">
        <v>38</v>
      </c>
      <c r="K397" s="6" t="s">
        <v>39</v>
      </c>
      <c r="L397" s="6" t="s">
        <v>40</v>
      </c>
      <c r="M397" s="6" t="s">
        <v>41</v>
      </c>
      <c r="N397" s="6" t="s">
        <v>62</v>
      </c>
      <c r="O397" s="6" t="s">
        <v>43</v>
      </c>
      <c r="P397" s="8" t="s">
        <v>1294</v>
      </c>
      <c r="Q397" s="1" t="s">
        <v>33</v>
      </c>
    </row>
    <row r="398" spans="2:17" ht="33.75" x14ac:dyDescent="0.2">
      <c r="B398" s="6" t="s">
        <v>1295</v>
      </c>
      <c r="C398" s="6" t="s">
        <v>1296</v>
      </c>
      <c r="D398" s="6" t="s">
        <v>36</v>
      </c>
      <c r="E398" s="6" t="s">
        <v>37</v>
      </c>
      <c r="F398" s="6" t="s">
        <v>882</v>
      </c>
      <c r="G398" s="7" t="str">
        <f>HYPERLINK("https://www.google.com.au/maps/place/24° 54.228' S+152° 19.122' E","24° 54.228' S")</f>
        <v>24° 54.228' S</v>
      </c>
      <c r="H398" s="7" t="str">
        <f>HYPERLINK("https://www.google.com.au/maps/place/24° 54.228' S+152° 19.122' E","152° 19.122' E")</f>
        <v>152° 19.122' E</v>
      </c>
      <c r="I398" s="6" t="s">
        <v>101</v>
      </c>
      <c r="J398" s="6" t="s">
        <v>38</v>
      </c>
      <c r="K398" s="6" t="s">
        <v>39</v>
      </c>
      <c r="L398" s="6" t="s">
        <v>40</v>
      </c>
      <c r="M398" s="6" t="s">
        <v>41</v>
      </c>
      <c r="N398" s="6" t="s">
        <v>102</v>
      </c>
      <c r="O398" s="6" t="s">
        <v>103</v>
      </c>
      <c r="P398" s="8" t="s">
        <v>1297</v>
      </c>
      <c r="Q398" s="1" t="s">
        <v>33</v>
      </c>
    </row>
    <row r="399" spans="2:17" ht="33.75" x14ac:dyDescent="0.2">
      <c r="B399" s="6" t="s">
        <v>1298</v>
      </c>
      <c r="C399" s="6" t="s">
        <v>1299</v>
      </c>
      <c r="D399" s="6" t="s">
        <v>36</v>
      </c>
      <c r="E399" s="6" t="s">
        <v>37</v>
      </c>
      <c r="F399" s="6" t="s">
        <v>24</v>
      </c>
      <c r="G399" s="7" t="str">
        <f>HYPERLINK("https://www.google.com.au/maps/place/33° 56.772' S+151° 10.632' E","33° 56.772' S")</f>
        <v>33° 56.772' S</v>
      </c>
      <c r="H399" s="7" t="str">
        <f>HYPERLINK("https://www.google.com.au/maps/place/33° 56.772' S+151° 10.632' E","151° 10.632' E")</f>
        <v>151° 10.632' E</v>
      </c>
      <c r="I399" s="6" t="s">
        <v>25</v>
      </c>
      <c r="J399" s="6" t="s">
        <v>38</v>
      </c>
      <c r="K399" s="6" t="s">
        <v>39</v>
      </c>
      <c r="L399" s="6" t="s">
        <v>40</v>
      </c>
      <c r="M399" s="6" t="s">
        <v>41</v>
      </c>
      <c r="N399" s="6" t="s">
        <v>62</v>
      </c>
      <c r="O399" s="6" t="s">
        <v>43</v>
      </c>
      <c r="P399" s="8" t="s">
        <v>883</v>
      </c>
      <c r="Q399" s="1" t="s">
        <v>33</v>
      </c>
    </row>
    <row r="400" spans="2:17" ht="33.75" x14ac:dyDescent="0.2">
      <c r="B400" s="6" t="s">
        <v>1300</v>
      </c>
      <c r="C400" s="6" t="s">
        <v>1301</v>
      </c>
      <c r="D400" s="6" t="s">
        <v>36</v>
      </c>
      <c r="E400" s="6" t="s">
        <v>37</v>
      </c>
      <c r="F400" s="6" t="s">
        <v>24</v>
      </c>
      <c r="G400" s="7" t="str">
        <f>HYPERLINK("https://www.google.com.au/maps/place/33° 56.772' S+151° 10.632' E","33° 56.772' S")</f>
        <v>33° 56.772' S</v>
      </c>
      <c r="H400" s="7" t="str">
        <f>HYPERLINK("https://www.google.com.au/maps/place/33° 56.772' S+151° 10.632' E","151° 10.632' E")</f>
        <v>151° 10.632' E</v>
      </c>
      <c r="I400" s="6" t="s">
        <v>25</v>
      </c>
      <c r="J400" s="6" t="s">
        <v>38</v>
      </c>
      <c r="K400" s="6" t="s">
        <v>39</v>
      </c>
      <c r="L400" s="6" t="s">
        <v>40</v>
      </c>
      <c r="M400" s="6" t="s">
        <v>41</v>
      </c>
      <c r="N400" s="6" t="s">
        <v>62</v>
      </c>
      <c r="O400" s="6" t="s">
        <v>43</v>
      </c>
      <c r="P400" s="8" t="s">
        <v>1302</v>
      </c>
      <c r="Q400" s="1" t="s">
        <v>33</v>
      </c>
    </row>
    <row r="401" spans="2:17" ht="33.75" x14ac:dyDescent="0.2">
      <c r="B401" s="6" t="s">
        <v>1303</v>
      </c>
      <c r="C401" s="6" t="s">
        <v>1304</v>
      </c>
      <c r="D401" s="6" t="s">
        <v>36</v>
      </c>
      <c r="E401" s="6" t="s">
        <v>37</v>
      </c>
      <c r="F401" s="6" t="s">
        <v>60</v>
      </c>
      <c r="G401" s="7" t="str">
        <f>HYPERLINK("https://www.google.com.au/maps/place/35° 18.42' S+149° 11.7' E","35° 18.42' S")</f>
        <v>35° 18.42' S</v>
      </c>
      <c r="H401" s="7" t="str">
        <f>HYPERLINK("https://www.google.com.au/maps/place/35° 18.42' S+149° 11.7' E","149° 11.7' E")</f>
        <v>149° 11.7' E</v>
      </c>
      <c r="I401" s="6" t="s">
        <v>61</v>
      </c>
      <c r="J401" s="6" t="s">
        <v>38</v>
      </c>
      <c r="K401" s="6" t="s">
        <v>39</v>
      </c>
      <c r="L401" s="6" t="s">
        <v>40</v>
      </c>
      <c r="M401" s="6" t="s">
        <v>41</v>
      </c>
      <c r="N401" s="6" t="s">
        <v>62</v>
      </c>
      <c r="O401" s="6" t="s">
        <v>43</v>
      </c>
      <c r="P401" s="8" t="s">
        <v>1305</v>
      </c>
      <c r="Q401" s="1" t="s">
        <v>33</v>
      </c>
    </row>
    <row r="402" spans="2:17" ht="33.75" x14ac:dyDescent="0.2">
      <c r="B402" s="6" t="s">
        <v>1306</v>
      </c>
      <c r="C402" s="6" t="s">
        <v>1307</v>
      </c>
      <c r="D402" s="6" t="s">
        <v>36</v>
      </c>
      <c r="E402" s="6" t="s">
        <v>37</v>
      </c>
      <c r="F402" s="6" t="s">
        <v>1308</v>
      </c>
      <c r="G402" s="7" t="str">
        <f>HYPERLINK("https://www.google.com.au/maps/place/34° 33.672' S+150° 47.322' E","34° 33.672' S")</f>
        <v>34° 33.672' S</v>
      </c>
      <c r="H402" s="7" t="str">
        <f>HYPERLINK("https://www.google.com.au/maps/place/34° 33.672' S+150° 47.322' E","150° 47.322' E")</f>
        <v>150° 47.322' E</v>
      </c>
      <c r="I402" s="6" t="s">
        <v>25</v>
      </c>
      <c r="J402" s="6" t="s">
        <v>38</v>
      </c>
      <c r="K402" s="6" t="s">
        <v>39</v>
      </c>
      <c r="L402" s="6" t="s">
        <v>40</v>
      </c>
      <c r="M402" s="6" t="s">
        <v>41</v>
      </c>
      <c r="N402" s="6" t="s">
        <v>42</v>
      </c>
      <c r="O402" s="6" t="s">
        <v>43</v>
      </c>
      <c r="P402" s="8" t="s">
        <v>1309</v>
      </c>
      <c r="Q402" s="1" t="s">
        <v>33</v>
      </c>
    </row>
    <row r="403" spans="2:17" ht="33.75" x14ac:dyDescent="0.2">
      <c r="B403" s="6" t="s">
        <v>1310</v>
      </c>
      <c r="C403" s="6" t="s">
        <v>1311</v>
      </c>
      <c r="D403" s="6" t="s">
        <v>36</v>
      </c>
      <c r="E403" s="6" t="s">
        <v>37</v>
      </c>
      <c r="F403" s="6" t="s">
        <v>405</v>
      </c>
      <c r="G403" s="7" t="str">
        <f>HYPERLINK("https://www.google.com.au/maps/place/23° 22.92' S+150° 28.518' E","23° 22.92' S")</f>
        <v>23° 22.92' S</v>
      </c>
      <c r="H403" s="7" t="str">
        <f>HYPERLINK("https://www.google.com.au/maps/place/23° 22.92' S+150° 28.518' E","150° 28.518' E")</f>
        <v>150° 28.518' E</v>
      </c>
      <c r="I403" s="6" t="s">
        <v>101</v>
      </c>
      <c r="J403" s="6" t="s">
        <v>38</v>
      </c>
      <c r="K403" s="6" t="s">
        <v>39</v>
      </c>
      <c r="L403" s="6" t="s">
        <v>40</v>
      </c>
      <c r="M403" s="6" t="s">
        <v>41</v>
      </c>
      <c r="N403" s="6" t="s">
        <v>62</v>
      </c>
      <c r="O403" s="6" t="s">
        <v>71</v>
      </c>
      <c r="P403" s="8" t="s">
        <v>1312</v>
      </c>
      <c r="Q403" s="1" t="s">
        <v>33</v>
      </c>
    </row>
    <row r="404" spans="2:17" ht="33.75" x14ac:dyDescent="0.2">
      <c r="B404" s="6" t="s">
        <v>1313</v>
      </c>
      <c r="C404" s="6" t="s">
        <v>1314</v>
      </c>
      <c r="D404" s="6" t="s">
        <v>36</v>
      </c>
      <c r="E404" s="6" t="s">
        <v>37</v>
      </c>
      <c r="F404" s="6" t="s">
        <v>193</v>
      </c>
      <c r="G404" s="7" t="str">
        <f>HYPERLINK("https://www.google.com.au/maps/place/35° 18.42' S+149° 11.7' E","35° 18.42' S")</f>
        <v>35° 18.42' S</v>
      </c>
      <c r="H404" s="7" t="str">
        <f>HYPERLINK("https://www.google.com.au/maps/place/35° 18.42' S+149° 11.7' E","149° 11.7' E")</f>
        <v>149° 11.7' E</v>
      </c>
      <c r="I404" s="6" t="s">
        <v>61</v>
      </c>
      <c r="J404" s="6" t="s">
        <v>38</v>
      </c>
      <c r="K404" s="6" t="s">
        <v>39</v>
      </c>
      <c r="L404" s="6" t="s">
        <v>40</v>
      </c>
      <c r="M404" s="6" t="s">
        <v>41</v>
      </c>
      <c r="N404" s="6" t="s">
        <v>62</v>
      </c>
      <c r="O404" s="6" t="s">
        <v>43</v>
      </c>
      <c r="P404" s="8" t="s">
        <v>1315</v>
      </c>
      <c r="Q404" s="1" t="s">
        <v>33</v>
      </c>
    </row>
    <row r="405" spans="2:17" ht="33.75" x14ac:dyDescent="0.2">
      <c r="B405" s="6" t="s">
        <v>1316</v>
      </c>
      <c r="C405" s="6" t="s">
        <v>1317</v>
      </c>
      <c r="D405" s="6" t="s">
        <v>36</v>
      </c>
      <c r="E405" s="6" t="s">
        <v>37</v>
      </c>
      <c r="F405" s="6" t="s">
        <v>346</v>
      </c>
      <c r="G405" s="7" t="str">
        <f>HYPERLINK("https://www.google.com.au/maps/place/27° 23.052' S+153° 7.05' E","27° 23.052' S")</f>
        <v>27° 23.052' S</v>
      </c>
      <c r="H405" s="7" t="str">
        <f>HYPERLINK("https://www.google.com.au/maps/place/27° 23.052' S+153° 7.05' E","153° 7.05' E")</f>
        <v>153° 7.05' E</v>
      </c>
      <c r="I405" s="6" t="s">
        <v>101</v>
      </c>
      <c r="J405" s="6" t="s">
        <v>38</v>
      </c>
      <c r="K405" s="6" t="s">
        <v>39</v>
      </c>
      <c r="L405" s="6" t="s">
        <v>40</v>
      </c>
      <c r="M405" s="6" t="s">
        <v>41</v>
      </c>
      <c r="N405" s="6" t="s">
        <v>62</v>
      </c>
      <c r="O405" s="6" t="s">
        <v>43</v>
      </c>
      <c r="P405" s="8" t="s">
        <v>1318</v>
      </c>
      <c r="Q405" s="1" t="s">
        <v>33</v>
      </c>
    </row>
    <row r="406" spans="2:17" ht="33.75" x14ac:dyDescent="0.2">
      <c r="B406" s="6" t="s">
        <v>1319</v>
      </c>
      <c r="C406" s="6" t="s">
        <v>1320</v>
      </c>
      <c r="D406" s="6" t="s">
        <v>36</v>
      </c>
      <c r="E406" s="6" t="s">
        <v>37</v>
      </c>
      <c r="F406" s="6" t="s">
        <v>1185</v>
      </c>
      <c r="G406" s="7" t="str">
        <f>HYPERLINK("https://www.google.com.au/maps/place/34° 48.618' S+149° 43.578' E","34° 48.618' S")</f>
        <v>34° 48.618' S</v>
      </c>
      <c r="H406" s="7" t="str">
        <f>HYPERLINK("https://www.google.com.au/maps/place/34° 48.618' S+149° 43.578' E","149° 43.578' E")</f>
        <v>149° 43.578' E</v>
      </c>
      <c r="I406" s="6" t="s">
        <v>25</v>
      </c>
      <c r="J406" s="6" t="s">
        <v>38</v>
      </c>
      <c r="K406" s="6" t="s">
        <v>39</v>
      </c>
      <c r="L406" s="6" t="s">
        <v>40</v>
      </c>
      <c r="M406" s="6" t="s">
        <v>41</v>
      </c>
      <c r="N406" s="6" t="s">
        <v>42</v>
      </c>
      <c r="O406" s="6" t="s">
        <v>302</v>
      </c>
      <c r="P406" s="8" t="s">
        <v>1321</v>
      </c>
      <c r="Q406" s="1" t="s">
        <v>33</v>
      </c>
    </row>
    <row r="407" spans="2:17" ht="78.75" x14ac:dyDescent="0.2">
      <c r="B407" s="6" t="s">
        <v>1322</v>
      </c>
      <c r="C407" s="6" t="s">
        <v>1323</v>
      </c>
      <c r="D407" s="6" t="s">
        <v>36</v>
      </c>
      <c r="E407" s="6" t="s">
        <v>37</v>
      </c>
      <c r="F407" s="6" t="s">
        <v>50</v>
      </c>
      <c r="G407" s="7" t="str">
        <f>HYPERLINK("https://www.google.com.au/maps/place/31° 26.148' S+152° 51.798' E","31° 26.148' S")</f>
        <v>31° 26.148' S</v>
      </c>
      <c r="H407" s="7" t="str">
        <f>HYPERLINK("https://www.google.com.au/maps/place/31° 26.148' S+152° 51.798' E","152° 51.798' E")</f>
        <v>152° 51.798' E</v>
      </c>
      <c r="I407" s="6" t="s">
        <v>25</v>
      </c>
      <c r="J407" s="6" t="s">
        <v>341</v>
      </c>
      <c r="K407" s="6" t="s">
        <v>342</v>
      </c>
      <c r="L407" s="6" t="s">
        <v>28</v>
      </c>
      <c r="M407" s="6" t="s">
        <v>29</v>
      </c>
      <c r="N407" s="6" t="s">
        <v>1324</v>
      </c>
      <c r="O407" s="6" t="s">
        <v>1324</v>
      </c>
      <c r="P407" s="8" t="s">
        <v>1325</v>
      </c>
      <c r="Q407" s="1" t="s">
        <v>33</v>
      </c>
    </row>
    <row r="408" spans="2:17" ht="33.75" x14ac:dyDescent="0.2">
      <c r="B408" s="6" t="s">
        <v>1326</v>
      </c>
      <c r="C408" s="6" t="s">
        <v>1327</v>
      </c>
      <c r="D408" s="6" t="s">
        <v>36</v>
      </c>
      <c r="E408" s="6" t="s">
        <v>37</v>
      </c>
      <c r="F408" s="6" t="s">
        <v>1328</v>
      </c>
      <c r="G408" s="7" t="str">
        <f>HYPERLINK("https://www.google.com.au/maps/place/34° 4.722' S+151° 11.868' E","34° 4.722' S")</f>
        <v>34° 4.722' S</v>
      </c>
      <c r="H408" s="7" t="str">
        <f>HYPERLINK("https://www.google.com.au/maps/place/34° 4.722' S+151° 11.868' E","151° 11.868' E")</f>
        <v>151° 11.868' E</v>
      </c>
      <c r="I408" s="6" t="s">
        <v>25</v>
      </c>
      <c r="J408" s="6" t="s">
        <v>38</v>
      </c>
      <c r="K408" s="6" t="s">
        <v>39</v>
      </c>
      <c r="L408" s="6" t="s">
        <v>40</v>
      </c>
      <c r="M408" s="6" t="s">
        <v>41</v>
      </c>
      <c r="N408" s="6" t="s">
        <v>62</v>
      </c>
      <c r="O408" s="6" t="s">
        <v>43</v>
      </c>
      <c r="P408" s="8" t="s">
        <v>1329</v>
      </c>
      <c r="Q408" s="1" t="s">
        <v>33</v>
      </c>
    </row>
    <row r="409" spans="2:17" ht="33.75" x14ac:dyDescent="0.2">
      <c r="B409" s="6" t="s">
        <v>1330</v>
      </c>
      <c r="C409" s="6" t="s">
        <v>1331</v>
      </c>
      <c r="D409" s="6" t="s">
        <v>36</v>
      </c>
      <c r="E409" s="6" t="s">
        <v>37</v>
      </c>
      <c r="F409" s="6" t="s">
        <v>60</v>
      </c>
      <c r="G409" s="7" t="str">
        <f>HYPERLINK("https://www.google.com.au/maps/place/35° 18.42' S+149° 11.7' E","35° 18.42' S")</f>
        <v>35° 18.42' S</v>
      </c>
      <c r="H409" s="7" t="str">
        <f>HYPERLINK("https://www.google.com.au/maps/place/35° 18.42' S+149° 11.7' E","149° 11.7' E")</f>
        <v>149° 11.7' E</v>
      </c>
      <c r="I409" s="6" t="s">
        <v>61</v>
      </c>
      <c r="J409" s="6" t="s">
        <v>38</v>
      </c>
      <c r="K409" s="6" t="s">
        <v>39</v>
      </c>
      <c r="L409" s="6" t="s">
        <v>40</v>
      </c>
      <c r="M409" s="6" t="s">
        <v>41</v>
      </c>
      <c r="N409" s="6" t="s">
        <v>62</v>
      </c>
      <c r="O409" s="6" t="s">
        <v>43</v>
      </c>
      <c r="P409" s="8" t="s">
        <v>1332</v>
      </c>
      <c r="Q409" s="1" t="s">
        <v>33</v>
      </c>
    </row>
    <row r="410" spans="2:17" ht="33.75" x14ac:dyDescent="0.2">
      <c r="B410" s="6" t="s">
        <v>1333</v>
      </c>
      <c r="C410" s="6" t="s">
        <v>1334</v>
      </c>
      <c r="D410" s="6" t="s">
        <v>36</v>
      </c>
      <c r="E410" s="6" t="s">
        <v>37</v>
      </c>
      <c r="F410" s="6" t="s">
        <v>193</v>
      </c>
      <c r="G410" s="7" t="str">
        <f>HYPERLINK("https://www.google.com.au/maps/place/35° 18.42' S+149° 11.7' E","35° 18.42' S")</f>
        <v>35° 18.42' S</v>
      </c>
      <c r="H410" s="7" t="str">
        <f>HYPERLINK("https://www.google.com.au/maps/place/35° 18.42' S+149° 11.7' E","149° 11.7' E")</f>
        <v>149° 11.7' E</v>
      </c>
      <c r="I410" s="6" t="s">
        <v>61</v>
      </c>
      <c r="J410" s="6" t="s">
        <v>38</v>
      </c>
      <c r="K410" s="6" t="s">
        <v>39</v>
      </c>
      <c r="L410" s="6" t="s">
        <v>40</v>
      </c>
      <c r="M410" s="6" t="s">
        <v>41</v>
      </c>
      <c r="N410" s="6" t="s">
        <v>42</v>
      </c>
      <c r="O410" s="6" t="s">
        <v>43</v>
      </c>
      <c r="P410" s="8" t="s">
        <v>1335</v>
      </c>
      <c r="Q410" s="1" t="s">
        <v>33</v>
      </c>
    </row>
    <row r="411" spans="2:17" ht="33.75" x14ac:dyDescent="0.2">
      <c r="B411" s="6" t="s">
        <v>1336</v>
      </c>
      <c r="C411" s="6" t="s">
        <v>1337</v>
      </c>
      <c r="D411" s="6" t="s">
        <v>36</v>
      </c>
      <c r="E411" s="6" t="s">
        <v>37</v>
      </c>
      <c r="F411" s="6" t="s">
        <v>405</v>
      </c>
      <c r="G411" s="7" t="str">
        <f>HYPERLINK("https://www.google.com.au/maps/place/23° 22.92' S+150° 28.518' E","23° 22.92' S")</f>
        <v>23° 22.92' S</v>
      </c>
      <c r="H411" s="7" t="str">
        <f>HYPERLINK("https://www.google.com.au/maps/place/23° 22.92' S+150° 28.518' E","150° 28.518' E")</f>
        <v>150° 28.518' E</v>
      </c>
      <c r="I411" s="6" t="s">
        <v>101</v>
      </c>
      <c r="J411" s="6" t="s">
        <v>38</v>
      </c>
      <c r="K411" s="6" t="s">
        <v>39</v>
      </c>
      <c r="L411" s="6" t="s">
        <v>40</v>
      </c>
      <c r="M411" s="6" t="s">
        <v>41</v>
      </c>
      <c r="N411" s="6" t="s">
        <v>62</v>
      </c>
      <c r="O411" s="6" t="s">
        <v>71</v>
      </c>
      <c r="P411" s="8" t="s">
        <v>1312</v>
      </c>
      <c r="Q411" s="1" t="s">
        <v>33</v>
      </c>
    </row>
    <row r="412" spans="2:17" ht="67.5" x14ac:dyDescent="0.2">
      <c r="B412" s="6" t="s">
        <v>1338</v>
      </c>
      <c r="C412" s="6" t="s">
        <v>1339</v>
      </c>
      <c r="D412" s="6" t="s">
        <v>23</v>
      </c>
      <c r="E412" s="7" t="str">
        <f>HYPERLINK("http://www.atsb.gov.au/publications/investigation_reports/2013/aair/AO-2013-114.aspx","AO-2013-114")</f>
        <v>AO-2013-114</v>
      </c>
      <c r="F412" s="6" t="s">
        <v>378</v>
      </c>
      <c r="G412" s="7" t="str">
        <f>HYPERLINK("https://www.google.com.au/maps/place/22° 3.468' S+148° 4.65' E","22° 3.468' S")</f>
        <v>22° 3.468' S</v>
      </c>
      <c r="H412" s="7" t="str">
        <f>HYPERLINK("https://www.google.com.au/maps/place/22° 3.468' S+148° 4.65' E","148° 4.65' E")</f>
        <v>148° 4.65' E</v>
      </c>
      <c r="I412" s="6" t="s">
        <v>101</v>
      </c>
      <c r="J412" s="6" t="s">
        <v>38</v>
      </c>
      <c r="K412" s="6" t="s">
        <v>39</v>
      </c>
      <c r="L412" s="6" t="s">
        <v>40</v>
      </c>
      <c r="M412" s="6" t="s">
        <v>41</v>
      </c>
      <c r="N412" s="6" t="s">
        <v>102</v>
      </c>
      <c r="O412" s="6" t="s">
        <v>103</v>
      </c>
      <c r="P412" s="8" t="s">
        <v>1340</v>
      </c>
      <c r="Q412" s="1" t="s">
        <v>702</v>
      </c>
    </row>
    <row r="413" spans="2:17" ht="33.75" x14ac:dyDescent="0.2">
      <c r="B413" s="6" t="s">
        <v>1341</v>
      </c>
      <c r="C413" s="6" t="s">
        <v>1342</v>
      </c>
      <c r="D413" s="6" t="s">
        <v>36</v>
      </c>
      <c r="E413" s="6" t="s">
        <v>37</v>
      </c>
      <c r="F413" s="6" t="s">
        <v>405</v>
      </c>
      <c r="G413" s="7" t="str">
        <f>HYPERLINK("https://www.google.com.au/maps/place/23° 22.92' S+150° 28.518' E","23° 22.92' S")</f>
        <v>23° 22.92' S</v>
      </c>
      <c r="H413" s="7" t="str">
        <f>HYPERLINK("https://www.google.com.au/maps/place/23° 22.92' S+150° 28.518' E","150° 28.518' E")</f>
        <v>150° 28.518' E</v>
      </c>
      <c r="I413" s="6" t="s">
        <v>101</v>
      </c>
      <c r="J413" s="6" t="s">
        <v>38</v>
      </c>
      <c r="K413" s="6" t="s">
        <v>39</v>
      </c>
      <c r="L413" s="6" t="s">
        <v>40</v>
      </c>
      <c r="M413" s="6" t="s">
        <v>41</v>
      </c>
      <c r="N413" s="6" t="s">
        <v>62</v>
      </c>
      <c r="O413" s="6" t="s">
        <v>71</v>
      </c>
      <c r="P413" s="8" t="s">
        <v>883</v>
      </c>
      <c r="Q413" s="1" t="s">
        <v>33</v>
      </c>
    </row>
    <row r="414" spans="2:17" ht="33.75" x14ac:dyDescent="0.2">
      <c r="B414" s="6" t="s">
        <v>1343</v>
      </c>
      <c r="C414" s="6" t="s">
        <v>1344</v>
      </c>
      <c r="D414" s="6" t="s">
        <v>36</v>
      </c>
      <c r="E414" s="6" t="s">
        <v>37</v>
      </c>
      <c r="F414" s="6" t="s">
        <v>346</v>
      </c>
      <c r="G414" s="7" t="str">
        <f>HYPERLINK("https://www.google.com.au/maps/place/27° 23.052' S+153° 7.05' E","27° 23.052' S")</f>
        <v>27° 23.052' S</v>
      </c>
      <c r="H414" s="7" t="str">
        <f>HYPERLINK("https://www.google.com.au/maps/place/27° 23.052' S+153° 7.05' E","153° 7.05' E")</f>
        <v>153° 7.05' E</v>
      </c>
      <c r="I414" s="6" t="s">
        <v>101</v>
      </c>
      <c r="J414" s="6" t="s">
        <v>38</v>
      </c>
      <c r="K414" s="6" t="s">
        <v>39</v>
      </c>
      <c r="L414" s="6" t="s">
        <v>40</v>
      </c>
      <c r="M414" s="6" t="s">
        <v>41</v>
      </c>
      <c r="N414" s="6" t="s">
        <v>62</v>
      </c>
      <c r="O414" s="6" t="s">
        <v>43</v>
      </c>
      <c r="P414" s="8" t="s">
        <v>1345</v>
      </c>
      <c r="Q414" s="1" t="s">
        <v>33</v>
      </c>
    </row>
    <row r="415" spans="2:17" ht="33.75" x14ac:dyDescent="0.2">
      <c r="B415" s="6" t="s">
        <v>1346</v>
      </c>
      <c r="C415" s="6" t="s">
        <v>1347</v>
      </c>
      <c r="D415" s="6" t="s">
        <v>36</v>
      </c>
      <c r="E415" s="6" t="s">
        <v>37</v>
      </c>
      <c r="F415" s="6" t="s">
        <v>346</v>
      </c>
      <c r="G415" s="7" t="str">
        <f>HYPERLINK("https://www.google.com.au/maps/place/27° 23.052' S+153° 7.05' E","27° 23.052' S")</f>
        <v>27° 23.052' S</v>
      </c>
      <c r="H415" s="7" t="str">
        <f>HYPERLINK("https://www.google.com.au/maps/place/27° 23.052' S+153° 7.05' E","153° 7.05' E")</f>
        <v>153° 7.05' E</v>
      </c>
      <c r="I415" s="6" t="s">
        <v>101</v>
      </c>
      <c r="J415" s="6" t="s">
        <v>38</v>
      </c>
      <c r="K415" s="6" t="s">
        <v>39</v>
      </c>
      <c r="L415" s="6" t="s">
        <v>40</v>
      </c>
      <c r="M415" s="6" t="s">
        <v>41</v>
      </c>
      <c r="N415" s="6" t="s">
        <v>62</v>
      </c>
      <c r="O415" s="6" t="s">
        <v>43</v>
      </c>
      <c r="P415" s="8" t="s">
        <v>1152</v>
      </c>
      <c r="Q415" s="1" t="s">
        <v>33</v>
      </c>
    </row>
    <row r="416" spans="2:17" ht="33.75" x14ac:dyDescent="0.2">
      <c r="B416" s="6" t="s">
        <v>1348</v>
      </c>
      <c r="C416" s="6" t="s">
        <v>1349</v>
      </c>
      <c r="D416" s="6" t="s">
        <v>36</v>
      </c>
      <c r="E416" s="6" t="s">
        <v>37</v>
      </c>
      <c r="F416" s="6" t="s">
        <v>555</v>
      </c>
      <c r="G416" s="7" t="str">
        <f>HYPERLINK("https://www.google.com.au/maps/place/27° 23.052' S+153° 7.05' E","27° 23.052' S")</f>
        <v>27° 23.052' S</v>
      </c>
      <c r="H416" s="7" t="str">
        <f>HYPERLINK("https://www.google.com.au/maps/place/27° 23.052' S+153° 7.05' E","153° 7.05' E")</f>
        <v>153° 7.05' E</v>
      </c>
      <c r="I416" s="6" t="s">
        <v>101</v>
      </c>
      <c r="J416" s="6" t="s">
        <v>38</v>
      </c>
      <c r="K416" s="6" t="s">
        <v>39</v>
      </c>
      <c r="L416" s="6" t="s">
        <v>40</v>
      </c>
      <c r="M416" s="6" t="s">
        <v>41</v>
      </c>
      <c r="N416" s="6" t="s">
        <v>62</v>
      </c>
      <c r="O416" s="6" t="s">
        <v>43</v>
      </c>
      <c r="P416" s="8" t="s">
        <v>1350</v>
      </c>
      <c r="Q416" s="1" t="s">
        <v>33</v>
      </c>
    </row>
    <row r="417" spans="2:17" ht="33.75" x14ac:dyDescent="0.2">
      <c r="B417" s="6" t="s">
        <v>1351</v>
      </c>
      <c r="C417" s="6" t="s">
        <v>1352</v>
      </c>
      <c r="D417" s="6" t="s">
        <v>36</v>
      </c>
      <c r="E417" s="6" t="s">
        <v>37</v>
      </c>
      <c r="F417" s="6" t="s">
        <v>405</v>
      </c>
      <c r="G417" s="7" t="str">
        <f>HYPERLINK("https://www.google.com.au/maps/place/23° 22.92' S+150° 28.518' E","23° 22.92' S")</f>
        <v>23° 22.92' S</v>
      </c>
      <c r="H417" s="7" t="str">
        <f>HYPERLINK("https://www.google.com.au/maps/place/23° 22.92' S+150° 28.518' E","150° 28.518' E")</f>
        <v>150° 28.518' E</v>
      </c>
      <c r="I417" s="6" t="s">
        <v>101</v>
      </c>
      <c r="J417" s="6" t="s">
        <v>38</v>
      </c>
      <c r="K417" s="6" t="s">
        <v>39</v>
      </c>
      <c r="L417" s="6" t="s">
        <v>40</v>
      </c>
      <c r="M417" s="6" t="s">
        <v>41</v>
      </c>
      <c r="N417" s="6" t="s">
        <v>102</v>
      </c>
      <c r="O417" s="6" t="s">
        <v>103</v>
      </c>
      <c r="P417" s="8" t="s">
        <v>1353</v>
      </c>
      <c r="Q417" s="1" t="s">
        <v>33</v>
      </c>
    </row>
    <row r="418" spans="2:17" ht="33.75" x14ac:dyDescent="0.2">
      <c r="B418" s="6" t="s">
        <v>1354</v>
      </c>
      <c r="C418" s="6" t="s">
        <v>1355</v>
      </c>
      <c r="D418" s="6" t="s">
        <v>36</v>
      </c>
      <c r="E418" s="6" t="s">
        <v>37</v>
      </c>
      <c r="F418" s="6" t="s">
        <v>90</v>
      </c>
      <c r="G418" s="7" t="str">
        <f>HYPERLINK("https://www.google.com.au/maps/place/36° 4.068' S+146° 57.48' E","36° 4.068' S")</f>
        <v>36° 4.068' S</v>
      </c>
      <c r="H418" s="7" t="str">
        <f>HYPERLINK("https://www.google.com.au/maps/place/36° 4.068' S+146° 57.48' E","146° 57.48' E")</f>
        <v>146° 57.48' E</v>
      </c>
      <c r="I418" s="6" t="s">
        <v>25</v>
      </c>
      <c r="J418" s="6" t="s">
        <v>38</v>
      </c>
      <c r="K418" s="6" t="s">
        <v>39</v>
      </c>
      <c r="L418" s="6" t="s">
        <v>40</v>
      </c>
      <c r="M418" s="6" t="s">
        <v>41</v>
      </c>
      <c r="N418" s="6" t="s">
        <v>62</v>
      </c>
      <c r="O418" s="6" t="s">
        <v>71</v>
      </c>
      <c r="P418" s="8" t="s">
        <v>1356</v>
      </c>
      <c r="Q418" s="1" t="s">
        <v>33</v>
      </c>
    </row>
    <row r="419" spans="2:17" ht="33.75" x14ac:dyDescent="0.2">
      <c r="B419" s="6" t="s">
        <v>1357</v>
      </c>
      <c r="C419" s="6" t="s">
        <v>1358</v>
      </c>
      <c r="D419" s="6" t="s">
        <v>36</v>
      </c>
      <c r="E419" s="6" t="s">
        <v>37</v>
      </c>
      <c r="F419" s="6" t="s">
        <v>926</v>
      </c>
      <c r="G419" s="7" t="str">
        <f>HYPERLINK("https://www.google.com.au/maps/place/25° 36.918' S+151° 37.248' E","25° 36.918' S")</f>
        <v>25° 36.918' S</v>
      </c>
      <c r="H419" s="7" t="str">
        <f>HYPERLINK("https://www.google.com.au/maps/place/25° 36.918' S+151° 37.248' E","151° 37.248' E")</f>
        <v>151° 37.248' E</v>
      </c>
      <c r="I419" s="6" t="s">
        <v>101</v>
      </c>
      <c r="J419" s="6" t="s">
        <v>38</v>
      </c>
      <c r="K419" s="6" t="s">
        <v>39</v>
      </c>
      <c r="L419" s="6" t="s">
        <v>40</v>
      </c>
      <c r="M419" s="6" t="s">
        <v>41</v>
      </c>
      <c r="N419" s="6" t="s">
        <v>237</v>
      </c>
      <c r="O419" s="6" t="s">
        <v>237</v>
      </c>
      <c r="P419" s="8" t="s">
        <v>1359</v>
      </c>
      <c r="Q419" s="1" t="s">
        <v>33</v>
      </c>
    </row>
    <row r="420" spans="2:17" ht="101.25" x14ac:dyDescent="0.2">
      <c r="B420" s="6" t="s">
        <v>1360</v>
      </c>
      <c r="C420" s="6" t="s">
        <v>1361</v>
      </c>
      <c r="D420" s="6" t="s">
        <v>36</v>
      </c>
      <c r="E420" s="7" t="str">
        <f>HYPERLINK("http://www.atsb.gov.au/publications/investigation_reports/2013/aair/AO-2013-085.aspx","AO-2013-085")</f>
        <v>AO-2013-085</v>
      </c>
      <c r="F420" s="6" t="s">
        <v>503</v>
      </c>
      <c r="G420" s="7" t="str">
        <f>HYPERLINK("https://www.google.com.au/maps/place/22° 3.468' S+148° 4.65' E","22° 3.468' S")</f>
        <v>22° 3.468' S</v>
      </c>
      <c r="H420" s="7" t="str">
        <f>HYPERLINK("https://www.google.com.au/maps/place/22° 3.468' S+148° 4.65' E","148° 4.65' E")</f>
        <v>148° 4.65' E</v>
      </c>
      <c r="I420" s="6" t="s">
        <v>101</v>
      </c>
      <c r="J420" s="6" t="s">
        <v>38</v>
      </c>
      <c r="K420" s="6" t="s">
        <v>39</v>
      </c>
      <c r="L420" s="6" t="s">
        <v>40</v>
      </c>
      <c r="M420" s="6" t="s">
        <v>41</v>
      </c>
      <c r="N420" s="6" t="s">
        <v>102</v>
      </c>
      <c r="O420" s="6" t="s">
        <v>103</v>
      </c>
      <c r="P420" s="8" t="s">
        <v>1362</v>
      </c>
      <c r="Q420" s="1" t="s">
        <v>33</v>
      </c>
    </row>
    <row r="421" spans="2:17" ht="33.75" x14ac:dyDescent="0.2">
      <c r="B421" s="6" t="s">
        <v>1363</v>
      </c>
      <c r="C421" s="6" t="s">
        <v>1364</v>
      </c>
      <c r="D421" s="6" t="s">
        <v>36</v>
      </c>
      <c r="E421" s="6" t="s">
        <v>37</v>
      </c>
      <c r="F421" s="6" t="s">
        <v>1365</v>
      </c>
      <c r="G421" s="7" t="str">
        <f>HYPERLINK("https://www.google.com.au/maps/place/17° 33.522' S+146° 0.702' E","17° 33.522' S")</f>
        <v>17° 33.522' S</v>
      </c>
      <c r="H421" s="7" t="str">
        <f>HYPERLINK("https://www.google.com.au/maps/place/17° 33.522' S+146° 0.702' E","146° 0.702' E")</f>
        <v>146° 0.702' E</v>
      </c>
      <c r="I421" s="6" t="s">
        <v>101</v>
      </c>
      <c r="J421" s="6" t="s">
        <v>38</v>
      </c>
      <c r="K421" s="6" t="s">
        <v>39</v>
      </c>
      <c r="L421" s="6" t="s">
        <v>40</v>
      </c>
      <c r="M421" s="6" t="s">
        <v>41</v>
      </c>
      <c r="N421" s="6" t="s">
        <v>42</v>
      </c>
      <c r="O421" s="6" t="s">
        <v>302</v>
      </c>
      <c r="P421" s="8" t="s">
        <v>1366</v>
      </c>
      <c r="Q421" s="1" t="s">
        <v>33</v>
      </c>
    </row>
    <row r="422" spans="2:17" ht="33.75" x14ac:dyDescent="0.2">
      <c r="B422" s="6" t="s">
        <v>1367</v>
      </c>
      <c r="C422" s="6" t="s">
        <v>1368</v>
      </c>
      <c r="D422" s="6" t="s">
        <v>36</v>
      </c>
      <c r="E422" s="6" t="s">
        <v>37</v>
      </c>
      <c r="F422" s="6" t="s">
        <v>90</v>
      </c>
      <c r="G422" s="7" t="str">
        <f>HYPERLINK("https://www.google.com.au/maps/place/36° 4.068' S+146° 57.48' E","36° 4.068' S")</f>
        <v>36° 4.068' S</v>
      </c>
      <c r="H422" s="7" t="str">
        <f>HYPERLINK("https://www.google.com.au/maps/place/36° 4.068' S+146° 57.48' E","146° 57.48' E")</f>
        <v>146° 57.48' E</v>
      </c>
      <c r="I422" s="6" t="s">
        <v>25</v>
      </c>
      <c r="J422" s="6" t="s">
        <v>38</v>
      </c>
      <c r="K422" s="6" t="s">
        <v>39</v>
      </c>
      <c r="L422" s="6" t="s">
        <v>40</v>
      </c>
      <c r="M422" s="6" t="s">
        <v>41</v>
      </c>
      <c r="N422" s="6" t="s">
        <v>62</v>
      </c>
      <c r="O422" s="6" t="s">
        <v>71</v>
      </c>
      <c r="P422" s="8" t="s">
        <v>1369</v>
      </c>
      <c r="Q422" s="1" t="s">
        <v>33</v>
      </c>
    </row>
    <row r="423" spans="2:17" ht="56.25" x14ac:dyDescent="0.2">
      <c r="B423" s="6" t="s">
        <v>1370</v>
      </c>
      <c r="C423" s="6" t="s">
        <v>1371</v>
      </c>
      <c r="D423" s="6" t="s">
        <v>36</v>
      </c>
      <c r="E423" s="6" t="s">
        <v>37</v>
      </c>
      <c r="F423" s="6" t="s">
        <v>1372</v>
      </c>
      <c r="G423" s="7" t="str">
        <f>HYPERLINK("https://www.google.com.au/maps/place/34° 56.718' S+149° 52.698' E","34° 56.718' S")</f>
        <v>34° 56.718' S</v>
      </c>
      <c r="H423" s="7" t="str">
        <f>HYPERLINK("https://www.google.com.au/maps/place/34° 56.718' S+149° 52.698' E","149° 52.698' E")</f>
        <v>149° 52.698' E</v>
      </c>
      <c r="I423" s="6" t="s">
        <v>25</v>
      </c>
      <c r="J423" s="6" t="s">
        <v>295</v>
      </c>
      <c r="K423" s="6" t="s">
        <v>296</v>
      </c>
      <c r="L423" s="6" t="s">
        <v>28</v>
      </c>
      <c r="M423" s="6" t="s">
        <v>29</v>
      </c>
      <c r="N423" s="6" t="s">
        <v>86</v>
      </c>
      <c r="O423" s="6" t="s">
        <v>31</v>
      </c>
      <c r="P423" s="8" t="s">
        <v>1373</v>
      </c>
      <c r="Q423" s="1" t="s">
        <v>702</v>
      </c>
    </row>
    <row r="424" spans="2:17" ht="33.75" x14ac:dyDescent="0.2">
      <c r="B424" s="6" t="s">
        <v>1374</v>
      </c>
      <c r="C424" s="6" t="s">
        <v>1375</v>
      </c>
      <c r="D424" s="6" t="s">
        <v>36</v>
      </c>
      <c r="E424" s="6" t="s">
        <v>37</v>
      </c>
      <c r="F424" s="6" t="s">
        <v>1376</v>
      </c>
      <c r="G424" s="7" t="str">
        <f>HYPERLINK("https://www.google.com.au/maps/place/16° 53.148' S+145° 45.318' E","16° 53.148' S")</f>
        <v>16° 53.148' S</v>
      </c>
      <c r="H424" s="7" t="str">
        <f>HYPERLINK("https://www.google.com.au/maps/place/16° 53.148' S+145° 45.318' E","145° 45.318' E")</f>
        <v>145° 45.318' E</v>
      </c>
      <c r="I424" s="6" t="s">
        <v>101</v>
      </c>
      <c r="J424" s="6" t="s">
        <v>38</v>
      </c>
      <c r="K424" s="6" t="s">
        <v>39</v>
      </c>
      <c r="L424" s="6" t="s">
        <v>40</v>
      </c>
      <c r="M424" s="6" t="s">
        <v>41</v>
      </c>
      <c r="N424" s="6" t="s">
        <v>62</v>
      </c>
      <c r="O424" s="6" t="s">
        <v>43</v>
      </c>
      <c r="P424" s="8" t="s">
        <v>1377</v>
      </c>
      <c r="Q424" s="1" t="s">
        <v>33</v>
      </c>
    </row>
    <row r="425" spans="2:17" ht="33.75" x14ac:dyDescent="0.2">
      <c r="B425" s="6" t="s">
        <v>1378</v>
      </c>
      <c r="C425" s="6" t="s">
        <v>1379</v>
      </c>
      <c r="D425" s="6" t="s">
        <v>36</v>
      </c>
      <c r="E425" s="6" t="s">
        <v>37</v>
      </c>
      <c r="F425" s="6" t="s">
        <v>117</v>
      </c>
      <c r="G425" s="7" t="str">
        <f>HYPERLINK("https://www.google.com.au/maps/place/33° 56.772' S+151° 10.632' E","33° 56.772' S")</f>
        <v>33° 56.772' S</v>
      </c>
      <c r="H425" s="7" t="str">
        <f>HYPERLINK("https://www.google.com.au/maps/place/33° 56.772' S+151° 10.632' E","151° 10.632' E")</f>
        <v>151° 10.632' E</v>
      </c>
      <c r="I425" s="6" t="s">
        <v>25</v>
      </c>
      <c r="J425" s="6" t="s">
        <v>38</v>
      </c>
      <c r="K425" s="6" t="s">
        <v>39</v>
      </c>
      <c r="L425" s="6" t="s">
        <v>40</v>
      </c>
      <c r="M425" s="6" t="s">
        <v>41</v>
      </c>
      <c r="N425" s="6" t="s">
        <v>42</v>
      </c>
      <c r="O425" s="6" t="s">
        <v>43</v>
      </c>
      <c r="P425" s="8" t="s">
        <v>1380</v>
      </c>
      <c r="Q425" s="1" t="s">
        <v>33</v>
      </c>
    </row>
    <row r="426" spans="2:17" ht="33.75" x14ac:dyDescent="0.2">
      <c r="B426" s="6" t="s">
        <v>1381</v>
      </c>
      <c r="C426" s="6" t="s">
        <v>1382</v>
      </c>
      <c r="D426" s="6" t="s">
        <v>36</v>
      </c>
      <c r="E426" s="6" t="s">
        <v>37</v>
      </c>
      <c r="F426" s="6" t="s">
        <v>405</v>
      </c>
      <c r="G426" s="7" t="str">
        <f>HYPERLINK("https://www.google.com.au/maps/place/23° 22.92' S+150° 28.518' E","23° 22.92' S")</f>
        <v>23° 22.92' S</v>
      </c>
      <c r="H426" s="7" t="str">
        <f>HYPERLINK("https://www.google.com.au/maps/place/23° 22.92' S+150° 28.518' E","150° 28.518' E")</f>
        <v>150° 28.518' E</v>
      </c>
      <c r="I426" s="6" t="s">
        <v>101</v>
      </c>
      <c r="J426" s="6" t="s">
        <v>38</v>
      </c>
      <c r="K426" s="6" t="s">
        <v>39</v>
      </c>
      <c r="L426" s="6" t="s">
        <v>40</v>
      </c>
      <c r="M426" s="6" t="s">
        <v>41</v>
      </c>
      <c r="N426" s="6" t="s">
        <v>62</v>
      </c>
      <c r="O426" s="6" t="s">
        <v>71</v>
      </c>
      <c r="P426" s="8" t="s">
        <v>1383</v>
      </c>
      <c r="Q426" s="1" t="s">
        <v>33</v>
      </c>
    </row>
    <row r="427" spans="2:17" ht="33.75" x14ac:dyDescent="0.2">
      <c r="B427" s="6" t="s">
        <v>1384</v>
      </c>
      <c r="C427" s="6" t="s">
        <v>1385</v>
      </c>
      <c r="D427" s="6" t="s">
        <v>36</v>
      </c>
      <c r="E427" s="6" t="s">
        <v>37</v>
      </c>
      <c r="F427" s="6" t="s">
        <v>405</v>
      </c>
      <c r="G427" s="7" t="str">
        <f>HYPERLINK("https://www.google.com.au/maps/place/23° 22.92' S+150° 28.518' E","23° 22.92' S")</f>
        <v>23° 22.92' S</v>
      </c>
      <c r="H427" s="7" t="str">
        <f>HYPERLINK("https://www.google.com.au/maps/place/23° 22.92' S+150° 28.518' E","150° 28.518' E")</f>
        <v>150° 28.518' E</v>
      </c>
      <c r="I427" s="6" t="s">
        <v>101</v>
      </c>
      <c r="J427" s="6" t="s">
        <v>38</v>
      </c>
      <c r="K427" s="6" t="s">
        <v>39</v>
      </c>
      <c r="L427" s="6" t="s">
        <v>40</v>
      </c>
      <c r="M427" s="6" t="s">
        <v>41</v>
      </c>
      <c r="N427" s="6" t="s">
        <v>62</v>
      </c>
      <c r="O427" s="6" t="s">
        <v>71</v>
      </c>
      <c r="P427" s="8" t="s">
        <v>1386</v>
      </c>
      <c r="Q427" s="1" t="s">
        <v>33</v>
      </c>
    </row>
    <row r="428" spans="2:17" ht="33.75" x14ac:dyDescent="0.2">
      <c r="B428" s="6" t="s">
        <v>1387</v>
      </c>
      <c r="C428" s="6" t="s">
        <v>1388</v>
      </c>
      <c r="D428" s="6" t="s">
        <v>36</v>
      </c>
      <c r="E428" s="6" t="s">
        <v>37</v>
      </c>
      <c r="F428" s="6" t="s">
        <v>405</v>
      </c>
      <c r="G428" s="7" t="str">
        <f>HYPERLINK("https://www.google.com.au/maps/place/23° 22.92' S+150° 28.518' E","23° 22.92' S")</f>
        <v>23° 22.92' S</v>
      </c>
      <c r="H428" s="7" t="str">
        <f>HYPERLINK("https://www.google.com.au/maps/place/23° 22.92' S+150° 28.518' E","150° 28.518' E")</f>
        <v>150° 28.518' E</v>
      </c>
      <c r="I428" s="6" t="s">
        <v>101</v>
      </c>
      <c r="J428" s="6" t="s">
        <v>38</v>
      </c>
      <c r="K428" s="6" t="s">
        <v>39</v>
      </c>
      <c r="L428" s="6" t="s">
        <v>40</v>
      </c>
      <c r="M428" s="6" t="s">
        <v>41</v>
      </c>
      <c r="N428" s="6" t="s">
        <v>62</v>
      </c>
      <c r="O428" s="6" t="s">
        <v>71</v>
      </c>
      <c r="P428" s="8" t="s">
        <v>104</v>
      </c>
      <c r="Q428" s="1" t="s">
        <v>33</v>
      </c>
    </row>
    <row r="429" spans="2:17" ht="33.75" x14ac:dyDescent="0.2">
      <c r="B429" s="6" t="s">
        <v>1389</v>
      </c>
      <c r="C429" s="6" t="s">
        <v>1390</v>
      </c>
      <c r="D429" s="6" t="s">
        <v>36</v>
      </c>
      <c r="E429" s="6" t="s">
        <v>37</v>
      </c>
      <c r="F429" s="6" t="s">
        <v>582</v>
      </c>
      <c r="G429" s="7" t="str">
        <f>HYPERLINK("https://www.google.com.au/maps/place/23° 52.182' S+151° 13.368' E","23° 52.182' S")</f>
        <v>23° 52.182' S</v>
      </c>
      <c r="H429" s="7" t="str">
        <f>HYPERLINK("https://www.google.com.au/maps/place/23° 52.182' S+151° 13.368' E","151° 13.368' E")</f>
        <v>151° 13.368' E</v>
      </c>
      <c r="I429" s="6" t="s">
        <v>101</v>
      </c>
      <c r="J429" s="6" t="s">
        <v>38</v>
      </c>
      <c r="K429" s="6" t="s">
        <v>39</v>
      </c>
      <c r="L429" s="6" t="s">
        <v>40</v>
      </c>
      <c r="M429" s="6" t="s">
        <v>41</v>
      </c>
      <c r="N429" s="6" t="s">
        <v>102</v>
      </c>
      <c r="O429" s="6" t="s">
        <v>103</v>
      </c>
      <c r="P429" s="8" t="s">
        <v>1391</v>
      </c>
      <c r="Q429" s="1" t="s">
        <v>33</v>
      </c>
    </row>
    <row r="430" spans="2:17" ht="33.75" x14ac:dyDescent="0.2">
      <c r="B430" s="6" t="s">
        <v>1389</v>
      </c>
      <c r="C430" s="6" t="s">
        <v>1392</v>
      </c>
      <c r="D430" s="6" t="s">
        <v>36</v>
      </c>
      <c r="E430" s="6" t="s">
        <v>37</v>
      </c>
      <c r="F430" s="6" t="s">
        <v>24</v>
      </c>
      <c r="G430" s="7" t="str">
        <f>HYPERLINK("https://www.google.com.au/maps/place/33° 56.772' S+151° 10.632' E","33° 56.772' S")</f>
        <v>33° 56.772' S</v>
      </c>
      <c r="H430" s="7" t="str">
        <f>HYPERLINK("https://www.google.com.au/maps/place/33° 56.772' S+151° 10.632' E","151° 10.632' E")</f>
        <v>151° 10.632' E</v>
      </c>
      <c r="I430" s="6" t="s">
        <v>25</v>
      </c>
      <c r="J430" s="6" t="s">
        <v>38</v>
      </c>
      <c r="K430" s="6" t="s">
        <v>39</v>
      </c>
      <c r="L430" s="6" t="s">
        <v>40</v>
      </c>
      <c r="M430" s="6" t="s">
        <v>41</v>
      </c>
      <c r="N430" s="6" t="s">
        <v>62</v>
      </c>
      <c r="O430" s="6" t="s">
        <v>43</v>
      </c>
      <c r="P430" s="8" t="s">
        <v>104</v>
      </c>
      <c r="Q430" s="1" t="s">
        <v>33</v>
      </c>
    </row>
    <row r="431" spans="2:17" ht="33.75" x14ac:dyDescent="0.2">
      <c r="B431" s="6" t="s">
        <v>1393</v>
      </c>
      <c r="C431" s="6" t="s">
        <v>1394</v>
      </c>
      <c r="D431" s="6" t="s">
        <v>36</v>
      </c>
      <c r="E431" s="6" t="s">
        <v>37</v>
      </c>
      <c r="F431" s="6" t="s">
        <v>346</v>
      </c>
      <c r="G431" s="7" t="str">
        <f>HYPERLINK("https://www.google.com.au/maps/place/27° 23.052' S+153° 7.05' E","27° 23.052' S")</f>
        <v>27° 23.052' S</v>
      </c>
      <c r="H431" s="7" t="str">
        <f>HYPERLINK("https://www.google.com.au/maps/place/27° 23.052' S+153° 7.05' E","153° 7.05' E")</f>
        <v>153° 7.05' E</v>
      </c>
      <c r="I431" s="6" t="s">
        <v>101</v>
      </c>
      <c r="J431" s="6" t="s">
        <v>38</v>
      </c>
      <c r="K431" s="6" t="s">
        <v>39</v>
      </c>
      <c r="L431" s="6" t="s">
        <v>40</v>
      </c>
      <c r="M431" s="6" t="s">
        <v>41</v>
      </c>
      <c r="N431" s="6" t="s">
        <v>62</v>
      </c>
      <c r="O431" s="6" t="s">
        <v>43</v>
      </c>
      <c r="P431" s="8" t="s">
        <v>1395</v>
      </c>
      <c r="Q431" s="1" t="s">
        <v>33</v>
      </c>
    </row>
    <row r="432" spans="2:17" ht="33.75" x14ac:dyDescent="0.2">
      <c r="B432" s="6" t="s">
        <v>1396</v>
      </c>
      <c r="C432" s="6" t="s">
        <v>1397</v>
      </c>
      <c r="D432" s="6" t="s">
        <v>36</v>
      </c>
      <c r="E432" s="6" t="s">
        <v>37</v>
      </c>
      <c r="F432" s="6" t="s">
        <v>346</v>
      </c>
      <c r="G432" s="7" t="str">
        <f>HYPERLINK("https://www.google.com.au/maps/place/27° 23.052' S+153° 7.05' E","27° 23.052' S")</f>
        <v>27° 23.052' S</v>
      </c>
      <c r="H432" s="7" t="str">
        <f>HYPERLINK("https://www.google.com.au/maps/place/27° 23.052' S+153° 7.05' E","153° 7.05' E")</f>
        <v>153° 7.05' E</v>
      </c>
      <c r="I432" s="6" t="s">
        <v>101</v>
      </c>
      <c r="J432" s="6" t="s">
        <v>38</v>
      </c>
      <c r="K432" s="6" t="s">
        <v>39</v>
      </c>
      <c r="L432" s="6" t="s">
        <v>40</v>
      </c>
      <c r="M432" s="6" t="s">
        <v>41</v>
      </c>
      <c r="N432" s="6" t="s">
        <v>62</v>
      </c>
      <c r="O432" s="6" t="s">
        <v>43</v>
      </c>
      <c r="P432" s="8" t="s">
        <v>104</v>
      </c>
      <c r="Q432" s="1" t="s">
        <v>33</v>
      </c>
    </row>
    <row r="433" spans="2:17" ht="33.75" x14ac:dyDescent="0.2">
      <c r="B433" s="6" t="s">
        <v>1398</v>
      </c>
      <c r="C433" s="6" t="s">
        <v>1399</v>
      </c>
      <c r="D433" s="6" t="s">
        <v>36</v>
      </c>
      <c r="E433" s="6" t="s">
        <v>37</v>
      </c>
      <c r="F433" s="6" t="s">
        <v>582</v>
      </c>
      <c r="G433" s="7" t="str">
        <f>HYPERLINK("https://www.google.com.au/maps/place/23° 52.182' S+151° 13.368' E","23° 52.182' S")</f>
        <v>23° 52.182' S</v>
      </c>
      <c r="H433" s="7" t="str">
        <f>HYPERLINK("https://www.google.com.au/maps/place/23° 52.182' S+151° 13.368' E","151° 13.368' E")</f>
        <v>151° 13.368' E</v>
      </c>
      <c r="I433" s="6" t="s">
        <v>101</v>
      </c>
      <c r="J433" s="6" t="s">
        <v>38</v>
      </c>
      <c r="K433" s="6" t="s">
        <v>39</v>
      </c>
      <c r="L433" s="6" t="s">
        <v>40</v>
      </c>
      <c r="M433" s="6" t="s">
        <v>41</v>
      </c>
      <c r="N433" s="6" t="s">
        <v>102</v>
      </c>
      <c r="O433" s="6" t="s">
        <v>103</v>
      </c>
      <c r="P433" s="8" t="s">
        <v>1400</v>
      </c>
      <c r="Q433" s="1" t="s">
        <v>33</v>
      </c>
    </row>
    <row r="434" spans="2:17" ht="33.75" x14ac:dyDescent="0.2">
      <c r="B434" s="6" t="s">
        <v>1401</v>
      </c>
      <c r="C434" s="6" t="s">
        <v>1402</v>
      </c>
      <c r="D434" s="6" t="s">
        <v>36</v>
      </c>
      <c r="E434" s="6" t="s">
        <v>37</v>
      </c>
      <c r="F434" s="6" t="s">
        <v>90</v>
      </c>
      <c r="G434" s="7" t="str">
        <f>HYPERLINK("https://www.google.com.au/maps/place/36° 4.068' S+146° 57.48' E","36° 4.068' S")</f>
        <v>36° 4.068' S</v>
      </c>
      <c r="H434" s="7" t="str">
        <f>HYPERLINK("https://www.google.com.au/maps/place/36° 4.068' S+146° 57.48' E","146° 57.48' E")</f>
        <v>146° 57.48' E</v>
      </c>
      <c r="I434" s="6" t="s">
        <v>25</v>
      </c>
      <c r="J434" s="6" t="s">
        <v>38</v>
      </c>
      <c r="K434" s="6" t="s">
        <v>39</v>
      </c>
      <c r="L434" s="6" t="s">
        <v>40</v>
      </c>
      <c r="M434" s="6" t="s">
        <v>41</v>
      </c>
      <c r="N434" s="6" t="s">
        <v>62</v>
      </c>
      <c r="O434" s="6" t="s">
        <v>71</v>
      </c>
      <c r="P434" s="8" t="s">
        <v>883</v>
      </c>
      <c r="Q434" s="1" t="s">
        <v>33</v>
      </c>
    </row>
    <row r="435" spans="2:17" ht="33.75" x14ac:dyDescent="0.2">
      <c r="B435" s="6" t="s">
        <v>1401</v>
      </c>
      <c r="C435" s="6" t="s">
        <v>1403</v>
      </c>
      <c r="D435" s="6" t="s">
        <v>36</v>
      </c>
      <c r="E435" s="6" t="s">
        <v>37</v>
      </c>
      <c r="F435" s="6" t="s">
        <v>90</v>
      </c>
      <c r="G435" s="7" t="str">
        <f>HYPERLINK("https://www.google.com.au/maps/place/36° 4.068' S+146° 57.48' E","36° 4.068' S")</f>
        <v>36° 4.068' S</v>
      </c>
      <c r="H435" s="7" t="str">
        <f>HYPERLINK("https://www.google.com.au/maps/place/36° 4.068' S+146° 57.48' E","146° 57.48' E")</f>
        <v>146° 57.48' E</v>
      </c>
      <c r="I435" s="6" t="s">
        <v>25</v>
      </c>
      <c r="J435" s="6" t="s">
        <v>38</v>
      </c>
      <c r="K435" s="6" t="s">
        <v>39</v>
      </c>
      <c r="L435" s="6" t="s">
        <v>40</v>
      </c>
      <c r="M435" s="6" t="s">
        <v>41</v>
      </c>
      <c r="N435" s="6" t="s">
        <v>62</v>
      </c>
      <c r="O435" s="6" t="s">
        <v>71</v>
      </c>
      <c r="P435" s="8" t="s">
        <v>1312</v>
      </c>
      <c r="Q435" s="1" t="s">
        <v>33</v>
      </c>
    </row>
    <row r="436" spans="2:17" ht="33.75" x14ac:dyDescent="0.2">
      <c r="B436" s="6" t="s">
        <v>1404</v>
      </c>
      <c r="C436" s="6" t="s">
        <v>1405</v>
      </c>
      <c r="D436" s="6" t="s">
        <v>36</v>
      </c>
      <c r="E436" s="6" t="s">
        <v>37</v>
      </c>
      <c r="F436" s="6" t="s">
        <v>346</v>
      </c>
      <c r="G436" s="7" t="str">
        <f>HYPERLINK("https://www.google.com.au/maps/place/27° 23.052' S+153° 7.05' E","27° 23.052' S")</f>
        <v>27° 23.052' S</v>
      </c>
      <c r="H436" s="7" t="str">
        <f>HYPERLINK("https://www.google.com.au/maps/place/27° 23.052' S+153° 7.05' E","153° 7.05' E")</f>
        <v>153° 7.05' E</v>
      </c>
      <c r="I436" s="6" t="s">
        <v>101</v>
      </c>
      <c r="J436" s="6" t="s">
        <v>38</v>
      </c>
      <c r="K436" s="6" t="s">
        <v>39</v>
      </c>
      <c r="L436" s="6" t="s">
        <v>40</v>
      </c>
      <c r="M436" s="6" t="s">
        <v>41</v>
      </c>
      <c r="N436" s="6" t="s">
        <v>62</v>
      </c>
      <c r="O436" s="6" t="s">
        <v>43</v>
      </c>
      <c r="P436" s="8" t="s">
        <v>1294</v>
      </c>
      <c r="Q436" s="1" t="s">
        <v>33</v>
      </c>
    </row>
    <row r="437" spans="2:17" ht="33.75" x14ac:dyDescent="0.2">
      <c r="B437" s="6" t="s">
        <v>1406</v>
      </c>
      <c r="C437" s="6" t="s">
        <v>1407</v>
      </c>
      <c r="D437" s="6" t="s">
        <v>36</v>
      </c>
      <c r="E437" s="6" t="s">
        <v>37</v>
      </c>
      <c r="F437" s="6" t="s">
        <v>891</v>
      </c>
      <c r="G437" s="7" t="str">
        <f>HYPERLINK("https://www.google.com.au/maps/place/19° 15.15' S+146° 45.918' E","19° 15.15' S")</f>
        <v>19° 15.15' S</v>
      </c>
      <c r="H437" s="7" t="str">
        <f>HYPERLINK("https://www.google.com.au/maps/place/19° 15.15' S+146° 45.918' E","146° 45.918' E")</f>
        <v>146° 45.918' E</v>
      </c>
      <c r="I437" s="6" t="s">
        <v>101</v>
      </c>
      <c r="J437" s="6" t="s">
        <v>38</v>
      </c>
      <c r="K437" s="6" t="s">
        <v>39</v>
      </c>
      <c r="L437" s="6" t="s">
        <v>40</v>
      </c>
      <c r="M437" s="6" t="s">
        <v>41</v>
      </c>
      <c r="N437" s="6" t="s">
        <v>62</v>
      </c>
      <c r="O437" s="6" t="s">
        <v>43</v>
      </c>
      <c r="P437" s="8" t="s">
        <v>1408</v>
      </c>
      <c r="Q437" s="1" t="s">
        <v>33</v>
      </c>
    </row>
    <row r="438" spans="2:17" ht="67.5" x14ac:dyDescent="0.2">
      <c r="B438" s="6" t="s">
        <v>1409</v>
      </c>
      <c r="C438" s="6" t="s">
        <v>1410</v>
      </c>
      <c r="D438" s="6" t="s">
        <v>36</v>
      </c>
      <c r="E438" s="6" t="s">
        <v>37</v>
      </c>
      <c r="F438" s="6" t="s">
        <v>635</v>
      </c>
      <c r="G438" s="7" t="str">
        <f>HYPERLINK("https://www.google.com.au/maps/place/23° 34.05' S+148° 10.752' E","23° 34.05' S")</f>
        <v>23° 34.05' S</v>
      </c>
      <c r="H438" s="7" t="str">
        <f>HYPERLINK("https://www.google.com.au/maps/place/23° 34.05' S+148° 10.752' E","148° 10.752' E")</f>
        <v>148° 10.752' E</v>
      </c>
      <c r="I438" s="6" t="s">
        <v>101</v>
      </c>
      <c r="J438" s="6" t="s">
        <v>626</v>
      </c>
      <c r="K438" s="6" t="s">
        <v>627</v>
      </c>
      <c r="L438" s="6" t="s">
        <v>127</v>
      </c>
      <c r="M438" s="6" t="s">
        <v>54</v>
      </c>
      <c r="N438" s="6" t="s">
        <v>55</v>
      </c>
      <c r="O438" s="6" t="s">
        <v>56</v>
      </c>
      <c r="P438" s="8" t="s">
        <v>1411</v>
      </c>
      <c r="Q438" s="1" t="s">
        <v>33</v>
      </c>
    </row>
    <row r="439" spans="2:17" ht="33.75" x14ac:dyDescent="0.2">
      <c r="B439" s="6" t="s">
        <v>1412</v>
      </c>
      <c r="C439" s="6" t="s">
        <v>1413</v>
      </c>
      <c r="D439" s="6" t="s">
        <v>36</v>
      </c>
      <c r="E439" s="6" t="s">
        <v>37</v>
      </c>
      <c r="F439" s="6" t="s">
        <v>405</v>
      </c>
      <c r="G439" s="7" t="str">
        <f>HYPERLINK("https://www.google.com.au/maps/place/23° 22.92' S+150° 28.518' E","23° 22.92' S")</f>
        <v>23° 22.92' S</v>
      </c>
      <c r="H439" s="7" t="str">
        <f>HYPERLINK("https://www.google.com.au/maps/place/23° 22.92' S+150° 28.518' E","150° 28.518' E")</f>
        <v>150° 28.518' E</v>
      </c>
      <c r="I439" s="6" t="s">
        <v>101</v>
      </c>
      <c r="J439" s="6" t="s">
        <v>38</v>
      </c>
      <c r="K439" s="6" t="s">
        <v>39</v>
      </c>
      <c r="L439" s="6" t="s">
        <v>40</v>
      </c>
      <c r="M439" s="6" t="s">
        <v>41</v>
      </c>
      <c r="N439" s="6" t="s">
        <v>62</v>
      </c>
      <c r="O439" s="6" t="s">
        <v>71</v>
      </c>
      <c r="P439" s="8" t="s">
        <v>1294</v>
      </c>
      <c r="Q439" s="1" t="s">
        <v>33</v>
      </c>
    </row>
    <row r="440" spans="2:17" ht="33.75" x14ac:dyDescent="0.2">
      <c r="B440" s="6" t="s">
        <v>1414</v>
      </c>
      <c r="C440" s="6" t="s">
        <v>1415</v>
      </c>
      <c r="D440" s="6" t="s">
        <v>36</v>
      </c>
      <c r="E440" s="6" t="s">
        <v>37</v>
      </c>
      <c r="F440" s="6" t="s">
        <v>555</v>
      </c>
      <c r="G440" s="7" t="str">
        <f>HYPERLINK("https://www.google.com.au/maps/place/27° 23.052' S+153° 7.05' E","27° 23.052' S")</f>
        <v>27° 23.052' S</v>
      </c>
      <c r="H440" s="7" t="str">
        <f>HYPERLINK("https://www.google.com.au/maps/place/27° 23.052' S+153° 7.05' E","153° 7.05' E")</f>
        <v>153° 7.05' E</v>
      </c>
      <c r="I440" s="6" t="s">
        <v>101</v>
      </c>
      <c r="J440" s="6" t="s">
        <v>38</v>
      </c>
      <c r="K440" s="6" t="s">
        <v>39</v>
      </c>
      <c r="L440" s="6" t="s">
        <v>40</v>
      </c>
      <c r="M440" s="6" t="s">
        <v>41</v>
      </c>
      <c r="N440" s="6" t="s">
        <v>42</v>
      </c>
      <c r="O440" s="6" t="s">
        <v>43</v>
      </c>
      <c r="P440" s="8" t="s">
        <v>1416</v>
      </c>
      <c r="Q440" s="1" t="s">
        <v>33</v>
      </c>
    </row>
    <row r="441" spans="2:17" ht="33.75" x14ac:dyDescent="0.2">
      <c r="B441" s="6" t="s">
        <v>1417</v>
      </c>
      <c r="C441" s="6" t="s">
        <v>1418</v>
      </c>
      <c r="D441" s="6" t="s">
        <v>36</v>
      </c>
      <c r="E441" s="6" t="s">
        <v>37</v>
      </c>
      <c r="F441" s="6" t="s">
        <v>891</v>
      </c>
      <c r="G441" s="7" t="str">
        <f>HYPERLINK("https://www.google.com.au/maps/place/19° 15.15' S+146° 45.918' E","19° 15.15' S")</f>
        <v>19° 15.15' S</v>
      </c>
      <c r="H441" s="7" t="str">
        <f>HYPERLINK("https://www.google.com.au/maps/place/19° 15.15' S+146° 45.918' E","146° 45.918' E")</f>
        <v>146° 45.918' E</v>
      </c>
      <c r="I441" s="6" t="s">
        <v>101</v>
      </c>
      <c r="J441" s="6" t="s">
        <v>38</v>
      </c>
      <c r="K441" s="6" t="s">
        <v>39</v>
      </c>
      <c r="L441" s="6" t="s">
        <v>40</v>
      </c>
      <c r="M441" s="6" t="s">
        <v>41</v>
      </c>
      <c r="N441" s="6" t="s">
        <v>62</v>
      </c>
      <c r="O441" s="6" t="s">
        <v>43</v>
      </c>
      <c r="P441" s="8" t="s">
        <v>1294</v>
      </c>
      <c r="Q441" s="1" t="s">
        <v>33</v>
      </c>
    </row>
    <row r="442" spans="2:17" ht="33.75" x14ac:dyDescent="0.2">
      <c r="B442" s="6" t="s">
        <v>1419</v>
      </c>
      <c r="C442" s="6" t="s">
        <v>1420</v>
      </c>
      <c r="D442" s="6" t="s">
        <v>36</v>
      </c>
      <c r="E442" s="6" t="s">
        <v>37</v>
      </c>
      <c r="F442" s="6" t="s">
        <v>378</v>
      </c>
      <c r="G442" s="7" t="str">
        <f>HYPERLINK("https://www.google.com.au/maps/place/22° 3.468' S+148° 4.65' E","22° 3.468' S")</f>
        <v>22° 3.468' S</v>
      </c>
      <c r="H442" s="7" t="str">
        <f>HYPERLINK("https://www.google.com.au/maps/place/22° 3.468' S+148° 4.65' E","148° 4.65' E")</f>
        <v>148° 4.65' E</v>
      </c>
      <c r="I442" s="6" t="s">
        <v>101</v>
      </c>
      <c r="J442" s="6" t="s">
        <v>38</v>
      </c>
      <c r="K442" s="6" t="s">
        <v>39</v>
      </c>
      <c r="L442" s="6" t="s">
        <v>40</v>
      </c>
      <c r="M442" s="6" t="s">
        <v>41</v>
      </c>
      <c r="N442" s="6" t="s">
        <v>102</v>
      </c>
      <c r="O442" s="6" t="s">
        <v>103</v>
      </c>
      <c r="P442" s="8" t="s">
        <v>1421</v>
      </c>
      <c r="Q442" s="1" t="s">
        <v>33</v>
      </c>
    </row>
    <row r="443" spans="2:17" ht="33.75" x14ac:dyDescent="0.2">
      <c r="B443" s="6" t="s">
        <v>1422</v>
      </c>
      <c r="C443" s="6" t="s">
        <v>1423</v>
      </c>
      <c r="D443" s="6" t="s">
        <v>36</v>
      </c>
      <c r="E443" s="6" t="s">
        <v>37</v>
      </c>
      <c r="F443" s="6" t="s">
        <v>346</v>
      </c>
      <c r="G443" s="7" t="str">
        <f>HYPERLINK("https://www.google.com.au/maps/place/27° 23.052' S+153° 7.05' E","27° 23.052' S")</f>
        <v>27° 23.052' S</v>
      </c>
      <c r="H443" s="7" t="str">
        <f>HYPERLINK("https://www.google.com.au/maps/place/27° 23.052' S+153° 7.05' E","153° 7.05' E")</f>
        <v>153° 7.05' E</v>
      </c>
      <c r="I443" s="6" t="s">
        <v>101</v>
      </c>
      <c r="J443" s="6" t="s">
        <v>38</v>
      </c>
      <c r="K443" s="6" t="s">
        <v>39</v>
      </c>
      <c r="L443" s="6" t="s">
        <v>40</v>
      </c>
      <c r="M443" s="6" t="s">
        <v>41</v>
      </c>
      <c r="N443" s="6" t="s">
        <v>62</v>
      </c>
      <c r="O443" s="6" t="s">
        <v>43</v>
      </c>
      <c r="P443" s="8" t="s">
        <v>1424</v>
      </c>
      <c r="Q443" s="1" t="s">
        <v>33</v>
      </c>
    </row>
    <row r="444" spans="2:17" ht="168.75" x14ac:dyDescent="0.2">
      <c r="B444" s="6" t="s">
        <v>1425</v>
      </c>
      <c r="C444" s="6" t="s">
        <v>1426</v>
      </c>
      <c r="D444" s="6" t="s">
        <v>23</v>
      </c>
      <c r="E444" s="7" t="str">
        <f>HYPERLINK("http://www.atsb.gov.au/publications/investigation_reports/2013/aair/AO-2013-038.aspx","AO-2013-038")</f>
        <v>AO-2013-038</v>
      </c>
      <c r="F444" s="6" t="s">
        <v>187</v>
      </c>
      <c r="G444" s="7" t="str">
        <f>HYPERLINK("https://www.google.com.au/maps/place/31° 26.148' S+152° 51.798' E","31° 26.148' S")</f>
        <v>31° 26.148' S</v>
      </c>
      <c r="H444" s="7" t="str">
        <f>HYPERLINK("https://www.google.com.au/maps/place/31° 26.148' S+152° 51.798' E","152° 51.798' E")</f>
        <v>152° 51.798' E</v>
      </c>
      <c r="I444" s="6" t="s">
        <v>25</v>
      </c>
      <c r="J444" s="6" t="s">
        <v>295</v>
      </c>
      <c r="K444" s="6" t="s">
        <v>296</v>
      </c>
      <c r="L444" s="6" t="s">
        <v>28</v>
      </c>
      <c r="M444" s="6" t="s">
        <v>29</v>
      </c>
      <c r="N444" s="6" t="s">
        <v>55</v>
      </c>
      <c r="O444" s="6" t="s">
        <v>56</v>
      </c>
      <c r="P444" s="8" t="s">
        <v>1427</v>
      </c>
      <c r="Q444" s="1" t="s">
        <v>33</v>
      </c>
    </row>
    <row r="445" spans="2:17" ht="33.75" x14ac:dyDescent="0.2">
      <c r="B445" s="6" t="s">
        <v>1428</v>
      </c>
      <c r="C445" s="6" t="s">
        <v>1429</v>
      </c>
      <c r="D445" s="6" t="s">
        <v>36</v>
      </c>
      <c r="E445" s="6" t="s">
        <v>37</v>
      </c>
      <c r="F445" s="6" t="s">
        <v>582</v>
      </c>
      <c r="G445" s="7" t="str">
        <f>HYPERLINK("https://www.google.com.au/maps/place/23° 52.182' S+151° 13.368' E","23° 52.182' S")</f>
        <v>23° 52.182' S</v>
      </c>
      <c r="H445" s="7" t="str">
        <f>HYPERLINK("https://www.google.com.au/maps/place/23° 52.182' S+151° 13.368' E","151° 13.368' E")</f>
        <v>151° 13.368' E</v>
      </c>
      <c r="I445" s="6" t="s">
        <v>101</v>
      </c>
      <c r="J445" s="6" t="s">
        <v>38</v>
      </c>
      <c r="K445" s="6" t="s">
        <v>39</v>
      </c>
      <c r="L445" s="6" t="s">
        <v>40</v>
      </c>
      <c r="M445" s="6" t="s">
        <v>41</v>
      </c>
      <c r="N445" s="6" t="s">
        <v>102</v>
      </c>
      <c r="O445" s="6" t="s">
        <v>103</v>
      </c>
      <c r="P445" s="8" t="s">
        <v>1430</v>
      </c>
      <c r="Q445" s="1" t="s">
        <v>33</v>
      </c>
    </row>
    <row r="446" spans="2:17" ht="33.75" x14ac:dyDescent="0.2">
      <c r="B446" s="6" t="s">
        <v>1431</v>
      </c>
      <c r="C446" s="6" t="s">
        <v>1432</v>
      </c>
      <c r="D446" s="6" t="s">
        <v>36</v>
      </c>
      <c r="E446" s="6" t="s">
        <v>37</v>
      </c>
      <c r="F446" s="6" t="s">
        <v>1433</v>
      </c>
      <c r="G446" s="7" t="str">
        <f>HYPERLINK("https://www.google.com.au/maps/place/30° 19.23' S+153° 6.978' E","30° 19.23' S")</f>
        <v>30° 19.23' S</v>
      </c>
      <c r="H446" s="7" t="str">
        <f>HYPERLINK("https://www.google.com.au/maps/place/30° 19.23' S+153° 6.978' E","153° 6.978' E")</f>
        <v>153° 6.978' E</v>
      </c>
      <c r="I446" s="6" t="s">
        <v>25</v>
      </c>
      <c r="J446" s="6" t="s">
        <v>38</v>
      </c>
      <c r="K446" s="6" t="s">
        <v>39</v>
      </c>
      <c r="L446" s="6" t="s">
        <v>40</v>
      </c>
      <c r="M446" s="6" t="s">
        <v>41</v>
      </c>
      <c r="N446" s="6" t="s">
        <v>42</v>
      </c>
      <c r="O446" s="6" t="s">
        <v>302</v>
      </c>
      <c r="P446" s="8" t="s">
        <v>1434</v>
      </c>
      <c r="Q446" s="1" t="s">
        <v>33</v>
      </c>
    </row>
    <row r="447" spans="2:17" ht="33.75" x14ac:dyDescent="0.2">
      <c r="B447" s="6" t="s">
        <v>1435</v>
      </c>
      <c r="C447" s="6" t="s">
        <v>1436</v>
      </c>
      <c r="D447" s="6" t="s">
        <v>36</v>
      </c>
      <c r="E447" s="6" t="s">
        <v>37</v>
      </c>
      <c r="F447" s="6" t="s">
        <v>60</v>
      </c>
      <c r="G447" s="7" t="str">
        <f>HYPERLINK("https://www.google.com.au/maps/place/35° 18.42' S+149° 11.7' E","35° 18.42' S")</f>
        <v>35° 18.42' S</v>
      </c>
      <c r="H447" s="7" t="str">
        <f>HYPERLINK("https://www.google.com.au/maps/place/35° 18.42' S+149° 11.7' E","149° 11.7' E")</f>
        <v>149° 11.7' E</v>
      </c>
      <c r="I447" s="6" t="s">
        <v>61</v>
      </c>
      <c r="J447" s="6" t="s">
        <v>38</v>
      </c>
      <c r="K447" s="6" t="s">
        <v>39</v>
      </c>
      <c r="L447" s="6" t="s">
        <v>40</v>
      </c>
      <c r="M447" s="6" t="s">
        <v>41</v>
      </c>
      <c r="N447" s="6" t="s">
        <v>62</v>
      </c>
      <c r="O447" s="6" t="s">
        <v>43</v>
      </c>
      <c r="P447" s="8" t="s">
        <v>1437</v>
      </c>
      <c r="Q447" s="1" t="s">
        <v>33</v>
      </c>
    </row>
    <row r="448" spans="2:17" ht="67.5" x14ac:dyDescent="0.2">
      <c r="B448" s="6" t="s">
        <v>1438</v>
      </c>
      <c r="C448" s="6" t="s">
        <v>1439</v>
      </c>
      <c r="D448" s="6" t="s">
        <v>36</v>
      </c>
      <c r="E448" s="6" t="s">
        <v>37</v>
      </c>
      <c r="F448" s="6" t="s">
        <v>1440</v>
      </c>
      <c r="G448" s="7" t="str">
        <f>HYPERLINK("https://www.google.com.au/maps/place/27° 21.702' S+152° 59.328' E","27° 21.702' S")</f>
        <v>27° 21.702' S</v>
      </c>
      <c r="H448" s="7" t="str">
        <f>HYPERLINK("https://www.google.com.au/maps/place/27° 21.702' S+152° 59.328' E","152° 59.328' E")</f>
        <v>152° 59.328' E</v>
      </c>
      <c r="I448" s="6" t="s">
        <v>101</v>
      </c>
      <c r="J448" s="6" t="s">
        <v>51</v>
      </c>
      <c r="K448" s="6" t="s">
        <v>1441</v>
      </c>
      <c r="L448" s="6" t="s">
        <v>127</v>
      </c>
      <c r="M448" s="6" t="s">
        <v>54</v>
      </c>
      <c r="N448" s="6" t="s">
        <v>1442</v>
      </c>
      <c r="O448" s="6" t="s">
        <v>31</v>
      </c>
      <c r="P448" s="8" t="s">
        <v>1443</v>
      </c>
      <c r="Q448" s="1" t="s">
        <v>33</v>
      </c>
    </row>
    <row r="449" spans="2:17" ht="33.75" x14ac:dyDescent="0.2">
      <c r="B449" s="6" t="s">
        <v>1444</v>
      </c>
      <c r="C449" s="6" t="s">
        <v>1445</v>
      </c>
      <c r="D449" s="6" t="s">
        <v>36</v>
      </c>
      <c r="E449" s="6" t="s">
        <v>37</v>
      </c>
      <c r="F449" s="6" t="s">
        <v>1446</v>
      </c>
      <c r="G449" s="7" t="str">
        <f>HYPERLINK("https://www.google.com.au/maps/place/34° 18.048' S+150° 22.848' E","34° 18.048' S")</f>
        <v>34° 18.048' S</v>
      </c>
      <c r="H449" s="7" t="str">
        <f>HYPERLINK("https://www.google.com.au/maps/place/34° 18.048' S+150° 22.848' E","150° 22.848' E")</f>
        <v>150° 22.848' E</v>
      </c>
      <c r="I449" s="6" t="s">
        <v>25</v>
      </c>
      <c r="J449" s="6" t="s">
        <v>38</v>
      </c>
      <c r="K449" s="6" t="s">
        <v>39</v>
      </c>
      <c r="L449" s="6" t="s">
        <v>40</v>
      </c>
      <c r="M449" s="6" t="s">
        <v>41</v>
      </c>
      <c r="N449" s="6" t="s">
        <v>42</v>
      </c>
      <c r="O449" s="6" t="s">
        <v>43</v>
      </c>
      <c r="P449" s="8" t="s">
        <v>1447</v>
      </c>
      <c r="Q449" s="1" t="s">
        <v>33</v>
      </c>
    </row>
    <row r="450" spans="2:17" ht="33.75" x14ac:dyDescent="0.2">
      <c r="B450" s="6" t="s">
        <v>1448</v>
      </c>
      <c r="C450" s="6" t="s">
        <v>1449</v>
      </c>
      <c r="D450" s="6" t="s">
        <v>36</v>
      </c>
      <c r="E450" s="6" t="s">
        <v>37</v>
      </c>
      <c r="F450" s="6" t="s">
        <v>1450</v>
      </c>
      <c r="G450" s="7" t="str">
        <f>HYPERLINK("https://www.google.com.au/maps/place/16° 53.148' S+145° 45.318' E","16° 53.148' S")</f>
        <v>16° 53.148' S</v>
      </c>
      <c r="H450" s="7" t="str">
        <f>HYPERLINK("https://www.google.com.au/maps/place/16° 53.148' S+145° 45.318' E","145° 45.318' E")</f>
        <v>145° 45.318' E</v>
      </c>
      <c r="I450" s="6" t="s">
        <v>101</v>
      </c>
      <c r="J450" s="6" t="s">
        <v>38</v>
      </c>
      <c r="K450" s="6" t="s">
        <v>39</v>
      </c>
      <c r="L450" s="6" t="s">
        <v>40</v>
      </c>
      <c r="M450" s="6" t="s">
        <v>41</v>
      </c>
      <c r="N450" s="6" t="s">
        <v>62</v>
      </c>
      <c r="O450" s="6" t="s">
        <v>43</v>
      </c>
      <c r="P450" s="8" t="s">
        <v>1451</v>
      </c>
      <c r="Q450" s="1" t="s">
        <v>33</v>
      </c>
    </row>
  </sheetData>
  <mergeCells count="7">
    <mergeCell ref="J6:P6"/>
    <mergeCell ref="A1:P1"/>
    <mergeCell ref="J4:P4"/>
    <mergeCell ref="J5:P5"/>
    <mergeCell ref="B2:F4"/>
    <mergeCell ref="J2:P2"/>
    <mergeCell ref="J3:P3"/>
  </mergeCells>
  <pageMargins left="0.19685038924217224" right="0.19685038924217224" top="0.19685038924217224" bottom="1.2992125749588013" header="0.19685038924217224" footer="0.19685038924217224"/>
  <pageSetup paperSize="9" orientation="landscape" horizontalDpi="300" verticalDpi="300"/>
  <headerFooter alignWithMargins="0">
    <oddFooter>&amp;L&amp;"Times New Roman,Regular"&amp;9Note: This document is based on unverified occurrence reports and is provided for information and guidance only. The data herein is dynamic and is subject to change due to updated information.
For the purpose of subsection 49</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Aviation Occurrences</vt:lpstr>
      <vt:lpstr>FirstDataRow</vt:lpstr>
      <vt:lpstr>HeaderFormatCell</vt:lpstr>
      <vt:lpstr>SearchCriteria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Aviation Weekly Web Summary Between 22 December 2012 and 04 January 2013</dc:title>
  <dc:subject>Aviation Weekly Web Summary Between 22 December 2012 and 04 January 2013</dc:subject>
  <dc:creator/>
  <cp:keywords>Aviation Weekly Web Summary Between 22 December 2012 and 04 January 2013</cp:keywords>
  <cp:lastModifiedBy/>
  <dcterms:created xsi:type="dcterms:W3CDTF">2013-02-26T22:57:12Z</dcterms:created>
  <dcterms:modified xsi:type="dcterms:W3CDTF">2020-04-06T06:41:27Z</dcterms:modified>
</cp:coreProperties>
</file>